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Mynumfil\2024\2024kokuho\6国保・収納係\国保担当\06_賦課業務（赤）\03_賦課変更（赤）\13_試算シート\HP掲載用（毎年度完成版を編集・加工しあじさい系へ）\"/>
    </mc:Choice>
  </mc:AlternateContent>
  <bookViews>
    <workbookView xWindow="0" yWindow="0" windowWidth="19470" windowHeight="6330"/>
  </bookViews>
  <sheets>
    <sheet name="試算シート" sheetId="6" r:id="rId1"/>
    <sheet name="計算の詳細" sheetId="9" r:id="rId2"/>
    <sheet name="計算基準（非公開）" sheetId="8" state="hidden" r:id="rId3"/>
    <sheet name="所得計算（非公開）" sheetId="10" state="hidden" r:id="rId4"/>
    <sheet name="区分（非公開）" sheetId="7" state="hidden" r:id="rId5"/>
    <sheet name="Sheet1" sheetId="4" state="veryHidden" r:id="rId6"/>
  </sheets>
  <definedNames>
    <definedName name="_xlnm.Print_Area" localSheetId="1">計算の詳細!$A$1:$T$70</definedName>
    <definedName name="_xlnm.Print_Area" localSheetId="0">試算シート!$A$1:$AZ$58</definedName>
  </definedNames>
  <calcPr calcId="152511"/>
</workbook>
</file>

<file path=xl/calcChain.xml><?xml version="1.0" encoding="utf-8"?>
<calcChain xmlns="http://schemas.openxmlformats.org/spreadsheetml/2006/main">
  <c r="O14" i="8" l="1"/>
  <c r="O15" i="8"/>
  <c r="O16" i="8"/>
  <c r="O17" i="8"/>
  <c r="AM37" i="6" l="1"/>
  <c r="F64" i="9"/>
  <c r="AA37" i="6"/>
  <c r="F44" i="9"/>
  <c r="O37" i="6"/>
  <c r="F23" i="9"/>
  <c r="G8" i="8"/>
  <c r="G7" i="8"/>
  <c r="G6" i="8"/>
  <c r="G5" i="8"/>
  <c r="D54" i="9"/>
  <c r="D53" i="9"/>
  <c r="D52" i="9"/>
  <c r="D51" i="9"/>
  <c r="D33" i="9"/>
  <c r="D32" i="9"/>
  <c r="D31" i="9"/>
  <c r="D30" i="9"/>
  <c r="D12" i="9"/>
  <c r="D11" i="9"/>
  <c r="D10" i="9"/>
  <c r="D9" i="9"/>
  <c r="AQ6" i="6" l="1"/>
  <c r="E12" i="8" l="1"/>
  <c r="F12" i="8" s="1"/>
  <c r="E17" i="8"/>
  <c r="F17" i="8" s="1"/>
  <c r="E13" i="8"/>
  <c r="F13" i="8" s="1"/>
  <c r="E14" i="8"/>
  <c r="F14" i="8" s="1"/>
  <c r="E15" i="8"/>
  <c r="F15" i="8" s="1"/>
  <c r="E16" i="8"/>
  <c r="F16" i="8" s="1"/>
  <c r="I3" i="8" l="1"/>
  <c r="H13" i="8"/>
  <c r="D50" i="9" s="1"/>
  <c r="G13" i="8"/>
  <c r="G16" i="8"/>
  <c r="D44" i="8"/>
  <c r="G14" i="8"/>
  <c r="G15" i="8"/>
  <c r="G17" i="8"/>
  <c r="C12" i="8"/>
  <c r="D12" i="8" s="1"/>
  <c r="D29" i="9" l="1"/>
  <c r="D8" i="9"/>
  <c r="G12" i="8"/>
  <c r="H12" i="8"/>
  <c r="D45" i="8" l="1"/>
  <c r="C45" i="8" s="1"/>
  <c r="C44" i="8"/>
  <c r="D43" i="8"/>
  <c r="C43" i="8" s="1"/>
  <c r="G54" i="9" l="1"/>
  <c r="G53" i="9"/>
  <c r="I61" i="9" l="1"/>
  <c r="I57" i="9"/>
  <c r="M49" i="9"/>
  <c r="E53" i="9"/>
  <c r="E54" i="9"/>
  <c r="I41" i="9"/>
  <c r="I36" i="9"/>
  <c r="M28" i="9"/>
  <c r="I20" i="9"/>
  <c r="I15" i="9"/>
  <c r="M7" i="9"/>
  <c r="F8" i="10" l="1"/>
  <c r="L22" i="8"/>
  <c r="L24" i="8"/>
  <c r="L25" i="8"/>
  <c r="L26" i="8"/>
  <c r="L27" i="8"/>
  <c r="L23" i="8"/>
  <c r="E33" i="8"/>
  <c r="D33" i="8"/>
  <c r="M13" i="8"/>
  <c r="M14" i="8"/>
  <c r="M15" i="8"/>
  <c r="M16" i="8"/>
  <c r="M17" i="8"/>
  <c r="M12" i="8"/>
  <c r="C78" i="10"/>
  <c r="C77" i="10"/>
  <c r="H73" i="10"/>
  <c r="H72" i="10"/>
  <c r="H71" i="10"/>
  <c r="H69" i="10"/>
  <c r="H70" i="10"/>
  <c r="F73" i="10"/>
  <c r="F72" i="10"/>
  <c r="F71" i="10"/>
  <c r="F70" i="10"/>
  <c r="F69" i="10"/>
  <c r="H60" i="10"/>
  <c r="H59" i="10"/>
  <c r="H58" i="10"/>
  <c r="H57" i="10"/>
  <c r="H56" i="10"/>
  <c r="F60" i="10"/>
  <c r="F59" i="10"/>
  <c r="F58" i="10"/>
  <c r="F57" i="10"/>
  <c r="F56" i="10"/>
  <c r="H47" i="10"/>
  <c r="H46" i="10"/>
  <c r="H45" i="10"/>
  <c r="H44" i="10"/>
  <c r="H43" i="10"/>
  <c r="F47" i="10"/>
  <c r="F46" i="10"/>
  <c r="F45" i="10"/>
  <c r="F44" i="10"/>
  <c r="F43" i="10"/>
  <c r="H34" i="10"/>
  <c r="H33" i="10"/>
  <c r="H32" i="10"/>
  <c r="H31" i="10"/>
  <c r="H30" i="10"/>
  <c r="F34" i="10"/>
  <c r="F33" i="10"/>
  <c r="F32" i="10"/>
  <c r="F31" i="10"/>
  <c r="F30" i="10"/>
  <c r="H21" i="10"/>
  <c r="H20" i="10"/>
  <c r="H19" i="10"/>
  <c r="H18" i="10"/>
  <c r="H17" i="10"/>
  <c r="F21" i="10"/>
  <c r="F20" i="10"/>
  <c r="F19" i="10"/>
  <c r="F18" i="10"/>
  <c r="F17" i="10"/>
  <c r="F4" i="10"/>
  <c r="M18" i="8" l="1"/>
  <c r="L28" i="8"/>
  <c r="C43" i="6" s="1"/>
  <c r="C76" i="10"/>
  <c r="C75" i="10"/>
  <c r="C74" i="10"/>
  <c r="C69" i="10"/>
  <c r="C65" i="10"/>
  <c r="C64" i="10"/>
  <c r="C63" i="10"/>
  <c r="C62" i="10"/>
  <c r="C61" i="10"/>
  <c r="C56" i="10"/>
  <c r="C52" i="10"/>
  <c r="C51" i="10"/>
  <c r="C50" i="10"/>
  <c r="C49" i="10"/>
  <c r="C48" i="10"/>
  <c r="C43" i="10"/>
  <c r="C39" i="10"/>
  <c r="C38" i="10"/>
  <c r="C37" i="10"/>
  <c r="C36" i="10"/>
  <c r="C35" i="10"/>
  <c r="C30" i="10"/>
  <c r="C26" i="10"/>
  <c r="C25" i="10"/>
  <c r="C24" i="10"/>
  <c r="C23" i="10"/>
  <c r="C22" i="10"/>
  <c r="C17" i="10"/>
  <c r="L17" i="9" l="1"/>
  <c r="J17" i="9"/>
  <c r="G17" i="9"/>
  <c r="K17" i="9"/>
  <c r="F17" i="9"/>
  <c r="H4" i="10"/>
  <c r="H8" i="10"/>
  <c r="H7" i="10"/>
  <c r="H6" i="10"/>
  <c r="H5" i="10"/>
  <c r="F7" i="10"/>
  <c r="F6" i="10"/>
  <c r="F5" i="10"/>
  <c r="K13" i="8"/>
  <c r="K14" i="8"/>
  <c r="K15" i="8"/>
  <c r="K16" i="8"/>
  <c r="K17" i="8"/>
  <c r="K12" i="8"/>
  <c r="I13" i="8"/>
  <c r="D47" i="8" s="1"/>
  <c r="I14" i="8"/>
  <c r="D48" i="8" s="1"/>
  <c r="I15" i="8"/>
  <c r="D49" i="8" s="1"/>
  <c r="I16" i="8"/>
  <c r="D50" i="8" s="1"/>
  <c r="I17" i="8"/>
  <c r="D51" i="8" s="1"/>
  <c r="I12" i="8"/>
  <c r="D46" i="8" s="1"/>
  <c r="J8" i="8"/>
  <c r="J7" i="8"/>
  <c r="J6" i="8"/>
  <c r="J5" i="8"/>
  <c r="J4" i="8"/>
  <c r="C13" i="10"/>
  <c r="C12" i="10"/>
  <c r="C11" i="10"/>
  <c r="C10" i="10"/>
  <c r="C9" i="10"/>
  <c r="C4" i="10"/>
  <c r="J3" i="8" s="1"/>
  <c r="H14" i="8"/>
  <c r="H15" i="8"/>
  <c r="H16" i="8"/>
  <c r="H17" i="8"/>
  <c r="D49" i="9"/>
  <c r="L14" i="8"/>
  <c r="L15" i="8"/>
  <c r="L16" i="8"/>
  <c r="L17" i="8"/>
  <c r="L13" i="8"/>
  <c r="K4" i="8" s="1"/>
  <c r="L4" i="8" s="1"/>
  <c r="G4" i="8" s="1"/>
  <c r="H54" i="9"/>
  <c r="H53" i="9"/>
  <c r="N38" i="9"/>
  <c r="L12" i="8" l="1"/>
  <c r="C46" i="8"/>
  <c r="B55" i="8" s="1"/>
  <c r="C55" i="8" s="1"/>
  <c r="C6" i="6" s="1"/>
  <c r="K8" i="8"/>
  <c r="K6" i="8"/>
  <c r="L6" i="8" s="1"/>
  <c r="N6" i="8" s="1"/>
  <c r="K5" i="8"/>
  <c r="K7" i="8"/>
  <c r="L7" i="8" s="1"/>
  <c r="D28" i="9"/>
  <c r="D7" i="9"/>
  <c r="E26" i="8"/>
  <c r="H26" i="8"/>
  <c r="H27" i="8"/>
  <c r="I4" i="8"/>
  <c r="L5" i="8"/>
  <c r="I5" i="8"/>
  <c r="I8" i="8"/>
  <c r="I7" i="8"/>
  <c r="N7" i="8"/>
  <c r="I6" i="8"/>
  <c r="G18" i="8"/>
  <c r="K18" i="8"/>
  <c r="H18" i="8"/>
  <c r="L8" i="8"/>
  <c r="N8" i="8" s="1"/>
  <c r="I53" i="9"/>
  <c r="I54" i="9"/>
  <c r="F53" i="9"/>
  <c r="F54" i="9"/>
  <c r="P12" i="8" l="1"/>
  <c r="K3" i="8"/>
  <c r="L3" i="8" s="1"/>
  <c r="M3" i="8" s="1"/>
  <c r="J12" i="8" s="1"/>
  <c r="O12" i="8" s="1"/>
  <c r="N4" i="8"/>
  <c r="N5" i="8"/>
  <c r="M5" i="8"/>
  <c r="J14" i="8" s="1"/>
  <c r="M61" i="9"/>
  <c r="K57" i="9"/>
  <c r="M41" i="9"/>
  <c r="K36" i="9"/>
  <c r="M20" i="9"/>
  <c r="K15" i="9"/>
  <c r="M15" i="9" s="1"/>
  <c r="L18" i="8"/>
  <c r="M7" i="8"/>
  <c r="J16" i="8" s="1"/>
  <c r="M8" i="8"/>
  <c r="J17" i="8" s="1"/>
  <c r="M6" i="8"/>
  <c r="N16" i="8" l="1"/>
  <c r="N14" i="8"/>
  <c r="N12" i="8"/>
  <c r="G3" i="8"/>
  <c r="G9" i="8" s="1"/>
  <c r="C44" i="6" s="1"/>
  <c r="P16" i="8"/>
  <c r="E51" i="9"/>
  <c r="E24" i="8"/>
  <c r="P14" i="8"/>
  <c r="D26" i="8"/>
  <c r="C26" i="8"/>
  <c r="E32" i="9"/>
  <c r="E11" i="9"/>
  <c r="E30" i="9"/>
  <c r="E9" i="9"/>
  <c r="G51" i="9" s="1"/>
  <c r="C24" i="8"/>
  <c r="D24" i="8"/>
  <c r="P17" i="8"/>
  <c r="N17" i="8"/>
  <c r="J15" i="8"/>
  <c r="I18" i="8"/>
  <c r="E28" i="9" l="1"/>
  <c r="H51" i="9"/>
  <c r="I51" i="9"/>
  <c r="F51" i="9"/>
  <c r="E33" i="9"/>
  <c r="E12" i="9"/>
  <c r="G30" i="9"/>
  <c r="G9" i="9"/>
  <c r="I30" i="9"/>
  <c r="H9" i="9"/>
  <c r="F9" i="9"/>
  <c r="I9" i="9"/>
  <c r="G32" i="9"/>
  <c r="G11" i="9"/>
  <c r="H30" i="9"/>
  <c r="F30" i="9"/>
  <c r="E49" i="9"/>
  <c r="E27" i="8"/>
  <c r="C27" i="8"/>
  <c r="D27" i="8"/>
  <c r="E22" i="8"/>
  <c r="P15" i="8"/>
  <c r="N15" i="8"/>
  <c r="E7" i="9" l="1"/>
  <c r="G7" i="9" s="1"/>
  <c r="C22" i="8"/>
  <c r="D22" i="8"/>
  <c r="E52" i="9"/>
  <c r="E25" i="8"/>
  <c r="G33" i="9"/>
  <c r="G12" i="9"/>
  <c r="I33" i="9"/>
  <c r="H12" i="9"/>
  <c r="F12" i="9"/>
  <c r="I12" i="9"/>
  <c r="H33" i="9"/>
  <c r="F33" i="9"/>
  <c r="E10" i="9"/>
  <c r="G52" i="9" s="1"/>
  <c r="E31" i="9"/>
  <c r="C25" i="8"/>
  <c r="D25" i="8"/>
  <c r="G28" i="9" l="1"/>
  <c r="G49" i="9"/>
  <c r="H52" i="9"/>
  <c r="F52" i="9"/>
  <c r="I52" i="9"/>
  <c r="G10" i="9"/>
  <c r="G31" i="9"/>
  <c r="H25" i="8" l="1"/>
  <c r="H24" i="8" l="1"/>
  <c r="F26" i="8"/>
  <c r="M26" i="8" s="1"/>
  <c r="F27" i="8"/>
  <c r="M27" i="8" s="1"/>
  <c r="G27" i="8"/>
  <c r="N27" i="8" s="1"/>
  <c r="G26" i="8"/>
  <c r="N26" i="8" s="1"/>
  <c r="F25" i="8"/>
  <c r="M25" i="8" s="1"/>
  <c r="G25" i="8"/>
  <c r="N25" i="8" s="1"/>
  <c r="G24" i="8"/>
  <c r="N24" i="8" s="1"/>
  <c r="F24" i="8"/>
  <c r="M24" i="8" s="1"/>
  <c r="O24" i="8" l="1"/>
  <c r="O26" i="8"/>
  <c r="O27" i="8"/>
  <c r="O25" i="8"/>
  <c r="K38" i="9" l="1"/>
  <c r="G38" i="9"/>
  <c r="L38" i="9"/>
  <c r="J38" i="9"/>
  <c r="F38" i="9"/>
  <c r="M57" i="9" l="1"/>
  <c r="H49" i="9" l="1"/>
  <c r="F49" i="9"/>
  <c r="H32" i="9" l="1"/>
  <c r="F32" i="9"/>
  <c r="I32" i="9"/>
  <c r="H11" i="9"/>
  <c r="I11" i="9"/>
  <c r="F11" i="9"/>
  <c r="I49" i="9" l="1"/>
  <c r="H31" i="9" l="1"/>
  <c r="F31" i="9"/>
  <c r="I31" i="9"/>
  <c r="H10" i="9"/>
  <c r="F10" i="9"/>
  <c r="I10" i="9"/>
  <c r="M36" i="9"/>
  <c r="H28" i="9"/>
  <c r="F28" i="9"/>
  <c r="H7" i="9"/>
  <c r="F7" i="9"/>
  <c r="I7" i="9" l="1"/>
  <c r="I28" i="9"/>
  <c r="N17" i="9" l="1"/>
  <c r="M4" i="8"/>
  <c r="J13" i="8" s="1"/>
  <c r="O13" i="8" s="1"/>
  <c r="O18" i="8" l="1"/>
  <c r="J18" i="8"/>
  <c r="P13" i="8"/>
  <c r="P18" i="8" s="1"/>
  <c r="E36" i="8" s="1"/>
  <c r="N13" i="8"/>
  <c r="E23" i="8" l="1"/>
  <c r="E28" i="8" s="1"/>
  <c r="AM34" i="6" s="1"/>
  <c r="AX34" i="6" s="1"/>
  <c r="E50" i="9"/>
  <c r="D37" i="8"/>
  <c r="E35" i="8"/>
  <c r="D38" i="8"/>
  <c r="E34" i="8"/>
  <c r="I35" i="8" s="1"/>
  <c r="G36" i="8" s="1"/>
  <c r="C23" i="8"/>
  <c r="C28" i="8" s="1"/>
  <c r="O34" i="6" s="1"/>
  <c r="D23" i="8"/>
  <c r="D28" i="8" s="1"/>
  <c r="AA34" i="6" s="1"/>
  <c r="D34" i="8"/>
  <c r="I34" i="8" s="1"/>
  <c r="E37" i="8"/>
  <c r="C37" i="8"/>
  <c r="D35" i="8"/>
  <c r="C35" i="8"/>
  <c r="C38" i="8"/>
  <c r="D36" i="8"/>
  <c r="C34" i="8"/>
  <c r="I33" i="8" s="1"/>
  <c r="G33" i="8" s="1"/>
  <c r="C36" i="8"/>
  <c r="E38" i="8"/>
  <c r="N18" i="8"/>
  <c r="E8" i="9"/>
  <c r="G50" i="9" s="1"/>
  <c r="G46" i="9" s="1"/>
  <c r="E29" i="9"/>
  <c r="H22" i="8"/>
  <c r="I50" i="9" l="1"/>
  <c r="K51" i="9" s="1"/>
  <c r="P51" i="9" s="1"/>
  <c r="H50" i="9"/>
  <c r="F50" i="9"/>
  <c r="G34" i="8"/>
  <c r="H23" i="8" s="1"/>
  <c r="H28" i="8" s="1"/>
  <c r="J58" i="9"/>
  <c r="Z34" i="6"/>
  <c r="AL34" i="6"/>
  <c r="G35" i="8"/>
  <c r="I28" i="8" s="1"/>
  <c r="I21" i="9" s="1"/>
  <c r="G21" i="9"/>
  <c r="G23" i="8"/>
  <c r="N23" i="8" s="1"/>
  <c r="F23" i="8"/>
  <c r="M23" i="8" s="1"/>
  <c r="G16" i="9"/>
  <c r="F16" i="9"/>
  <c r="K37" i="9"/>
  <c r="J37" i="9"/>
  <c r="F22" i="8"/>
  <c r="M22" i="8" s="1"/>
  <c r="K16" i="9"/>
  <c r="F21" i="9"/>
  <c r="G42" i="9"/>
  <c r="F37" i="9"/>
  <c r="G22" i="8"/>
  <c r="N22" i="8" s="1"/>
  <c r="J16" i="9"/>
  <c r="L37" i="9"/>
  <c r="F42" i="9"/>
  <c r="G37" i="9"/>
  <c r="L16" i="9"/>
  <c r="F29" i="9"/>
  <c r="H29" i="9"/>
  <c r="H8" i="9"/>
  <c r="G29" i="9"/>
  <c r="G25" i="9" s="1"/>
  <c r="I29" i="9"/>
  <c r="K30" i="9" s="1"/>
  <c r="P30" i="9" s="1"/>
  <c r="F8" i="9"/>
  <c r="G8" i="9"/>
  <c r="G4" i="9" s="1"/>
  <c r="I8" i="9"/>
  <c r="K9" i="9" s="1"/>
  <c r="P9" i="9" s="1"/>
  <c r="K28" i="8" l="1"/>
  <c r="I62" i="9" s="1"/>
  <c r="G62" i="9"/>
  <c r="F62" i="9"/>
  <c r="K58" i="9"/>
  <c r="I58" i="9" s="1"/>
  <c r="M58" i="9" s="1"/>
  <c r="P57" i="9" s="1"/>
  <c r="AM35" i="6" s="1"/>
  <c r="L58" i="9"/>
  <c r="F58" i="9"/>
  <c r="G58" i="9"/>
  <c r="O22" i="8"/>
  <c r="N28" i="8"/>
  <c r="M38" i="9" s="1"/>
  <c r="I38" i="9"/>
  <c r="F28" i="8"/>
  <c r="I16" i="9" s="1"/>
  <c r="M16" i="9" s="1"/>
  <c r="J28" i="8"/>
  <c r="I42" i="9" s="1"/>
  <c r="C42" i="6"/>
  <c r="G28" i="8"/>
  <c r="I37" i="9" s="1"/>
  <c r="M37" i="9" s="1"/>
  <c r="M62" i="9"/>
  <c r="P61" i="9" s="1"/>
  <c r="AM36" i="6" s="1"/>
  <c r="AX36" i="6" s="1"/>
  <c r="M21" i="9"/>
  <c r="P20" i="9" s="1"/>
  <c r="O36" i="6" s="1"/>
  <c r="Z36" i="6" s="1"/>
  <c r="O23" i="8"/>
  <c r="M28" i="8"/>
  <c r="M42" i="9" l="1"/>
  <c r="P41" i="9" s="1"/>
  <c r="AA36" i="6" s="1"/>
  <c r="AL36" i="6" s="1"/>
  <c r="O28" i="8"/>
  <c r="I64" i="9"/>
  <c r="M17" i="9"/>
  <c r="I17" i="9"/>
  <c r="P16" i="9"/>
  <c r="O35" i="6" s="1"/>
  <c r="Z35" i="6" s="1"/>
  <c r="P37" i="9"/>
  <c r="AA35" i="6" s="1"/>
  <c r="AL35" i="6" s="1"/>
  <c r="AX35" i="6"/>
  <c r="AR37" i="6"/>
  <c r="AX37" i="6" s="1"/>
  <c r="I44" i="9" l="1"/>
  <c r="AF37" i="6"/>
  <c r="AL37" i="6" s="1"/>
  <c r="T37" i="6"/>
  <c r="Z37" i="6" s="1"/>
  <c r="I23" i="9"/>
  <c r="P67" i="9" s="1"/>
  <c r="P69" i="9" s="1"/>
  <c r="AM38" i="6" l="1"/>
  <c r="AM40" i="6" s="1"/>
  <c r="AX40" i="6" s="1"/>
  <c r="AX38" i="6" l="1"/>
  <c r="AM39" i="6"/>
  <c r="AX39" i="6" s="1"/>
</calcChain>
</file>

<file path=xl/sharedStrings.xml><?xml version="1.0" encoding="utf-8"?>
<sst xmlns="http://schemas.openxmlformats.org/spreadsheetml/2006/main" count="244" uniqueCount="164">
  <si>
    <t>世帯主</t>
    <rPh sb="0" eb="3">
      <t>セタイヌシ</t>
    </rPh>
    <phoneticPr fontId="2"/>
  </si>
  <si>
    <t>総所得金額</t>
    <rPh sb="0" eb="3">
      <t>ソウショトク</t>
    </rPh>
    <rPh sb="3" eb="5">
      <t>キンガク</t>
    </rPh>
    <phoneticPr fontId="2"/>
  </si>
  <si>
    <t>加入しない</t>
    <rPh sb="0" eb="2">
      <t>カニュウ</t>
    </rPh>
    <phoneticPr fontId="2"/>
  </si>
  <si>
    <t>合計</t>
    <rPh sb="0" eb="2">
      <t>ゴウケイ</t>
    </rPh>
    <phoneticPr fontId="2"/>
  </si>
  <si>
    <t>賦課限度額</t>
    <rPh sb="0" eb="2">
      <t>フカ</t>
    </rPh>
    <rPh sb="2" eb="4">
      <t>ゲンド</t>
    </rPh>
    <rPh sb="4" eb="5">
      <t>ガク</t>
    </rPh>
    <phoneticPr fontId="2"/>
  </si>
  <si>
    <t>所得割</t>
    <rPh sb="0" eb="2">
      <t>ショトク</t>
    </rPh>
    <rPh sb="2" eb="3">
      <t>ワリ</t>
    </rPh>
    <phoneticPr fontId="2"/>
  </si>
  <si>
    <t>人数判定</t>
    <rPh sb="0" eb="2">
      <t>ニンズウ</t>
    </rPh>
    <rPh sb="2" eb="4">
      <t>ハンテイ</t>
    </rPh>
    <phoneticPr fontId="2"/>
  </si>
  <si>
    <t>介護判定</t>
    <rPh sb="0" eb="2">
      <t>カイゴ</t>
    </rPh>
    <rPh sb="2" eb="4">
      <t>ハンテイ</t>
    </rPh>
    <phoneticPr fontId="2"/>
  </si>
  <si>
    <t>総所得金額</t>
  </si>
  <si>
    <t>所得割（医療）</t>
    <rPh sb="0" eb="2">
      <t>ショトク</t>
    </rPh>
    <rPh sb="2" eb="3">
      <t>ワリ</t>
    </rPh>
    <rPh sb="4" eb="6">
      <t>イリョウ</t>
    </rPh>
    <phoneticPr fontId="2"/>
  </si>
  <si>
    <t>所得割（支援）</t>
    <rPh sb="0" eb="2">
      <t>ショトク</t>
    </rPh>
    <rPh sb="2" eb="3">
      <t>ワリ</t>
    </rPh>
    <rPh sb="4" eb="6">
      <t>シエン</t>
    </rPh>
    <phoneticPr fontId="2"/>
  </si>
  <si>
    <t>所得割（介護）</t>
    <rPh sb="0" eb="2">
      <t>ショトク</t>
    </rPh>
    <rPh sb="2" eb="3">
      <t>ワリ</t>
    </rPh>
    <rPh sb="4" eb="6">
      <t>カイゴ</t>
    </rPh>
    <phoneticPr fontId="2"/>
  </si>
  <si>
    <t>基礎控除額</t>
    <rPh sb="0" eb="2">
      <t>キソ</t>
    </rPh>
    <rPh sb="2" eb="4">
      <t>コウジョ</t>
    </rPh>
    <rPh sb="4" eb="5">
      <t>ガク</t>
    </rPh>
    <phoneticPr fontId="2"/>
  </si>
  <si>
    <t>1人につき</t>
    <rPh sb="1" eb="2">
      <t>ヒト</t>
    </rPh>
    <phoneticPr fontId="2"/>
  </si>
  <si>
    <t>1世帯につき</t>
    <rPh sb="1" eb="3">
      <t>セタイ</t>
    </rPh>
    <phoneticPr fontId="2"/>
  </si>
  <si>
    <t>【軽減基準】</t>
    <rPh sb="1" eb="3">
      <t>ケイゲン</t>
    </rPh>
    <rPh sb="3" eb="5">
      <t>キジュン</t>
    </rPh>
    <phoneticPr fontId="2"/>
  </si>
  <si>
    <t>区分</t>
    <rPh sb="0" eb="2">
      <t>クブン</t>
    </rPh>
    <phoneticPr fontId="2"/>
  </si>
  <si>
    <t>（100円未満切り捨て）</t>
  </si>
  <si>
    <t>所得割</t>
    <rPh sb="0" eb="3">
      <t>ショトクワリ</t>
    </rPh>
    <phoneticPr fontId="2"/>
  </si>
  <si>
    <t>均等割</t>
    <rPh sb="0" eb="3">
      <t>キントウワリ</t>
    </rPh>
    <phoneticPr fontId="2"/>
  </si>
  <si>
    <t>基礎控除後の
総所得金額等</t>
    <phoneticPr fontId="2"/>
  </si>
  <si>
    <t>＝</t>
    <phoneticPr fontId="2"/>
  </si>
  <si>
    <t>×</t>
    <phoneticPr fontId="2"/>
  </si>
  <si>
    <t>所得割料率</t>
    <phoneticPr fontId="2"/>
  </si>
  <si>
    <t>所得割料率</t>
    <phoneticPr fontId="2"/>
  </si>
  <si>
    <t>所得割料率</t>
    <phoneticPr fontId="2"/>
  </si>
  <si>
    <t>合計</t>
    <phoneticPr fontId="2"/>
  </si>
  <si>
    <t>給与収入</t>
    <rPh sb="0" eb="2">
      <t>キュウヨ</t>
    </rPh>
    <rPh sb="2" eb="4">
      <t>シュウニュウ</t>
    </rPh>
    <phoneticPr fontId="2"/>
  </si>
  <si>
    <t>その他所得</t>
    <rPh sb="2" eb="3">
      <t>タ</t>
    </rPh>
    <rPh sb="3" eb="5">
      <t>ショトク</t>
    </rPh>
    <phoneticPr fontId="2"/>
  </si>
  <si>
    <t>給与所得</t>
    <rPh sb="0" eb="4">
      <t>キュウヨショトク</t>
    </rPh>
    <phoneticPr fontId="2"/>
  </si>
  <si>
    <t>年金所得</t>
    <rPh sb="0" eb="2">
      <t>ネンキン</t>
    </rPh>
    <rPh sb="2" eb="4">
      <t>ショトク</t>
    </rPh>
    <phoneticPr fontId="2"/>
  </si>
  <si>
    <t>年金収入</t>
    <rPh sb="0" eb="2">
      <t>ネンキン</t>
    </rPh>
    <rPh sb="2" eb="4">
      <t>シュウニュウ</t>
    </rPh>
    <phoneticPr fontId="2"/>
  </si>
  <si>
    <t>65歳未満</t>
    <rPh sb="2" eb="5">
      <t>サイミマン</t>
    </rPh>
    <phoneticPr fontId="2"/>
  </si>
  <si>
    <t>65歳以上</t>
    <rPh sb="2" eb="5">
      <t>サイイジョウ</t>
    </rPh>
    <phoneticPr fontId="2"/>
  </si>
  <si>
    <t>年間保険料　【①+②+③】</t>
    <rPh sb="0" eb="2">
      <t>ネンカン</t>
    </rPh>
    <rPh sb="2" eb="5">
      <t>ホケンリョウ</t>
    </rPh>
    <phoneticPr fontId="2"/>
  </si>
  <si>
    <t>1か月あたりの保険料　（年間保険料／12か月）</t>
    <rPh sb="2" eb="3">
      <t>ゲツ</t>
    </rPh>
    <rPh sb="7" eb="10">
      <t>ホケンリョウ</t>
    </rPh>
    <rPh sb="12" eb="14">
      <t>ネンカン</t>
    </rPh>
    <rPh sb="14" eb="17">
      <t>ホケンリョウ</t>
    </rPh>
    <rPh sb="21" eb="22">
      <t>ゲツ</t>
    </rPh>
    <phoneticPr fontId="2"/>
  </si>
  <si>
    <t>合計軽減額</t>
    <rPh sb="0" eb="2">
      <t>ゴウケイ</t>
    </rPh>
    <rPh sb="2" eb="4">
      <t>ケイゲン</t>
    </rPh>
    <rPh sb="4" eb="5">
      <t>ガク</t>
    </rPh>
    <phoneticPr fontId="2"/>
  </si>
  <si>
    <t>※基礎控除額
（43万円）</t>
    <rPh sb="10" eb="12">
      <t>マンエン</t>
    </rPh>
    <phoneticPr fontId="2"/>
  </si>
  <si>
    <t>40歳から64歳までの
加入者の基礎控除後の
総所得金額等</t>
    <rPh sb="7" eb="8">
      <t>サイ</t>
    </rPh>
    <phoneticPr fontId="2"/>
  </si>
  <si>
    <t>保険料</t>
    <phoneticPr fontId="2"/>
  </si>
  <si>
    <r>
      <t>保険料</t>
    </r>
    <r>
      <rPr>
        <b/>
        <sz val="11"/>
        <rFont val="Meiryo UI"/>
        <family val="3"/>
        <charset val="128"/>
      </rPr>
      <t/>
    </r>
    <phoneticPr fontId="2"/>
  </si>
  <si>
    <t>年齢区分</t>
    <rPh sb="0" eb="2">
      <t>ネンレイ</t>
    </rPh>
    <rPh sb="2" eb="4">
      <t>クブン</t>
    </rPh>
    <phoneticPr fontId="2"/>
  </si>
  <si>
    <t>その他所得の合計額</t>
    <rPh sb="2" eb="3">
      <t>タ</t>
    </rPh>
    <rPh sb="3" eb="5">
      <t>ショトク</t>
    </rPh>
    <rPh sb="6" eb="8">
      <t>ゴウケイ</t>
    </rPh>
    <rPh sb="8" eb="9">
      <t>ガク</t>
    </rPh>
    <phoneticPr fontId="2"/>
  </si>
  <si>
    <t>加入（普通世帯主）</t>
    <rPh sb="0" eb="2">
      <t>カニュウ</t>
    </rPh>
    <rPh sb="3" eb="5">
      <t>フツウ</t>
    </rPh>
    <rPh sb="5" eb="8">
      <t>セタイヌシ</t>
    </rPh>
    <phoneticPr fontId="2"/>
  </si>
  <si>
    <t>加入しない（擬制世帯主）</t>
    <rPh sb="0" eb="2">
      <t>カニュウ</t>
    </rPh>
    <rPh sb="6" eb="8">
      <t>ギセイ</t>
    </rPh>
    <rPh sb="8" eb="11">
      <t>セタイヌシ</t>
    </rPh>
    <phoneticPr fontId="2"/>
  </si>
  <si>
    <t>40歳以上65歳未満</t>
    <rPh sb="2" eb="5">
      <t>サイイジョウ</t>
    </rPh>
    <rPh sb="7" eb="10">
      <t>サイミマン</t>
    </rPh>
    <phoneticPr fontId="2"/>
  </si>
  <si>
    <t>65歳以上75歳未満</t>
    <rPh sb="2" eb="5">
      <t>サイイジョウ</t>
    </rPh>
    <rPh sb="7" eb="10">
      <t>サイミマン</t>
    </rPh>
    <phoneticPr fontId="2"/>
  </si>
  <si>
    <t>75歳以上</t>
    <rPh sb="2" eb="5">
      <t>サイイジョウ</t>
    </rPh>
    <phoneticPr fontId="2"/>
  </si>
  <si>
    <t>【世帯主の加入区分】</t>
    <rPh sb="1" eb="4">
      <t>セタイヌシ</t>
    </rPh>
    <rPh sb="5" eb="7">
      <t>カニュウ</t>
    </rPh>
    <rPh sb="7" eb="9">
      <t>クブン</t>
    </rPh>
    <phoneticPr fontId="2"/>
  </si>
  <si>
    <t>【世帯主の年齢区分】</t>
    <rPh sb="1" eb="4">
      <t>セタイヌシ</t>
    </rPh>
    <rPh sb="5" eb="7">
      <t>ネンレイ</t>
    </rPh>
    <rPh sb="7" eb="9">
      <t>クブン</t>
    </rPh>
    <phoneticPr fontId="2"/>
  </si>
  <si>
    <t>平等割</t>
    <rPh sb="0" eb="2">
      <t>ビョウドウ</t>
    </rPh>
    <rPh sb="2" eb="3">
      <t>ワリ</t>
    </rPh>
    <phoneticPr fontId="2"/>
  </si>
  <si>
    <t>均等割</t>
    <rPh sb="0" eb="3">
      <t>キントウワ</t>
    </rPh>
    <phoneticPr fontId="2"/>
  </si>
  <si>
    <t>加入区分</t>
    <rPh sb="0" eb="2">
      <t>カニュウ</t>
    </rPh>
    <rPh sb="2" eb="4">
      <t>クブン</t>
    </rPh>
    <phoneticPr fontId="2"/>
  </si>
  <si>
    <t>給与所得</t>
    <rPh sb="0" eb="2">
      <t>キュウヨ</t>
    </rPh>
    <rPh sb="2" eb="4">
      <t>ショトク</t>
    </rPh>
    <phoneticPr fontId="2"/>
  </si>
  <si>
    <t>軽減判定用所得</t>
    <rPh sb="0" eb="2">
      <t>ケイゲン</t>
    </rPh>
    <rPh sb="2" eb="5">
      <t>ハンテイヨウ</t>
    </rPh>
    <rPh sb="5" eb="7">
      <t>ショトク</t>
    </rPh>
    <phoneticPr fontId="2"/>
  </si>
  <si>
    <t>給与所得者の数</t>
    <rPh sb="0" eb="2">
      <t>キュウヨ</t>
    </rPh>
    <rPh sb="2" eb="4">
      <t>ショトク</t>
    </rPh>
    <rPh sb="4" eb="5">
      <t>シャ</t>
    </rPh>
    <rPh sb="6" eb="7">
      <t>カズ</t>
    </rPh>
    <phoneticPr fontId="2"/>
  </si>
  <si>
    <t>均等割（医療）</t>
    <rPh sb="0" eb="2">
      <t>キントウ</t>
    </rPh>
    <rPh sb="2" eb="3">
      <t>ワリ</t>
    </rPh>
    <rPh sb="4" eb="6">
      <t>イリョウ</t>
    </rPh>
    <phoneticPr fontId="2"/>
  </si>
  <si>
    <t>均等割（支援）</t>
    <rPh sb="0" eb="2">
      <t>キントウ</t>
    </rPh>
    <rPh sb="2" eb="3">
      <t>ワリ</t>
    </rPh>
    <rPh sb="4" eb="6">
      <t>シエン</t>
    </rPh>
    <phoneticPr fontId="2"/>
  </si>
  <si>
    <t>均等割（介護）</t>
    <rPh sb="0" eb="2">
      <t>キントウ</t>
    </rPh>
    <rPh sb="2" eb="3">
      <t>ワリ</t>
    </rPh>
    <rPh sb="4" eb="6">
      <t>カイゴ</t>
    </rPh>
    <phoneticPr fontId="2"/>
  </si>
  <si>
    <t>平等割（医療）</t>
    <rPh sb="0" eb="2">
      <t>ビョウドウ</t>
    </rPh>
    <rPh sb="2" eb="3">
      <t>ワリ</t>
    </rPh>
    <rPh sb="4" eb="6">
      <t>イリョウ</t>
    </rPh>
    <phoneticPr fontId="2"/>
  </si>
  <si>
    <t>平等割（支援）</t>
    <rPh sb="0" eb="2">
      <t>ビョウドウ</t>
    </rPh>
    <rPh sb="2" eb="3">
      <t>ワリ</t>
    </rPh>
    <rPh sb="4" eb="6">
      <t>シエン</t>
    </rPh>
    <phoneticPr fontId="2"/>
  </si>
  <si>
    <t>平等割（介護）</t>
    <rPh sb="0" eb="2">
      <t>ビョウドウ</t>
    </rPh>
    <rPh sb="2" eb="3">
      <t>ワリ</t>
    </rPh>
    <rPh sb="4" eb="6">
      <t>カイゴ</t>
    </rPh>
    <phoneticPr fontId="2"/>
  </si>
  <si>
    <t>未就学軽減</t>
    <rPh sb="0" eb="3">
      <t>ミシュウガク</t>
    </rPh>
    <rPh sb="3" eb="5">
      <t>ケイゲン</t>
    </rPh>
    <phoneticPr fontId="2"/>
  </si>
  <si>
    <t>医療分軽減</t>
    <rPh sb="0" eb="2">
      <t>イリョウ</t>
    </rPh>
    <rPh sb="2" eb="3">
      <t>ブン</t>
    </rPh>
    <rPh sb="3" eb="5">
      <t>ケイゲン</t>
    </rPh>
    <phoneticPr fontId="2"/>
  </si>
  <si>
    <t>支援分軽減</t>
    <rPh sb="0" eb="2">
      <t>シエン</t>
    </rPh>
    <rPh sb="2" eb="3">
      <t>ブン</t>
    </rPh>
    <rPh sb="3" eb="5">
      <t>ケイゲン</t>
    </rPh>
    <phoneticPr fontId="2"/>
  </si>
  <si>
    <t>7割軽減</t>
    <rPh sb="1" eb="2">
      <t>ワリ</t>
    </rPh>
    <rPh sb="2" eb="4">
      <t>ケイゲン</t>
    </rPh>
    <phoneticPr fontId="2"/>
  </si>
  <si>
    <t>5割軽減</t>
    <rPh sb="1" eb="2">
      <t>ワリ</t>
    </rPh>
    <rPh sb="2" eb="4">
      <t>ケイゲン</t>
    </rPh>
    <phoneticPr fontId="2"/>
  </si>
  <si>
    <t>2割軽減</t>
    <rPh sb="1" eb="2">
      <t>ワリ</t>
    </rPh>
    <rPh sb="2" eb="4">
      <t>ケイゲン</t>
    </rPh>
    <phoneticPr fontId="2"/>
  </si>
  <si>
    <t>【軽減判定表】</t>
    <rPh sb="1" eb="3">
      <t>ケイゲン</t>
    </rPh>
    <rPh sb="3" eb="5">
      <t>ハンテイ</t>
    </rPh>
    <rPh sb="5" eb="6">
      <t>ヒョウ</t>
    </rPh>
    <phoneticPr fontId="2"/>
  </si>
  <si>
    <t>7割</t>
    <rPh sb="1" eb="2">
      <t>ワリ</t>
    </rPh>
    <phoneticPr fontId="2"/>
  </si>
  <si>
    <t>5割</t>
    <rPh sb="1" eb="2">
      <t>ワリ</t>
    </rPh>
    <phoneticPr fontId="2"/>
  </si>
  <si>
    <t>2割</t>
    <rPh sb="1" eb="2">
      <t>ワリ</t>
    </rPh>
    <phoneticPr fontId="2"/>
  </si>
  <si>
    <t>【非自発区分入力】</t>
  </si>
  <si>
    <t>【非自発区分判定】</t>
  </si>
  <si>
    <t>給与所得</t>
  </si>
  <si>
    <t>調整控除（参考）</t>
  </si>
  <si>
    <t>給与所得（調整控除後）</t>
  </si>
  <si>
    <t>【非自発考慮後給与】</t>
  </si>
  <si>
    <t>合計</t>
    <rPh sb="0" eb="2">
      <t>ゴウケイ</t>
    </rPh>
    <phoneticPr fontId="2"/>
  </si>
  <si>
    <t>下記の表に必要な項目を入力してください。</t>
    <rPh sb="0" eb="2">
      <t>カキ</t>
    </rPh>
    <rPh sb="3" eb="4">
      <t>ヒョウ</t>
    </rPh>
    <rPh sb="5" eb="7">
      <t>ヒツヨウ</t>
    </rPh>
    <rPh sb="8" eb="10">
      <t>コウモク</t>
    </rPh>
    <rPh sb="11" eb="13">
      <t>ニュウリョク</t>
    </rPh>
    <phoneticPr fontId="2"/>
  </si>
  <si>
    <t>年齢区分</t>
    <rPh sb="0" eb="2">
      <t>ネンレイ</t>
    </rPh>
    <rPh sb="2" eb="4">
      <t>クブン</t>
    </rPh>
    <phoneticPr fontId="2"/>
  </si>
  <si>
    <t>収入金額等</t>
    <rPh sb="0" eb="2">
      <t>シュウニュウ</t>
    </rPh>
    <rPh sb="2" eb="4">
      <t>キンガク</t>
    </rPh>
    <rPh sb="4" eb="5">
      <t>トウ</t>
    </rPh>
    <phoneticPr fontId="2"/>
  </si>
  <si>
    <t>非自発的失業者</t>
    <rPh sb="0" eb="1">
      <t>ヒ</t>
    </rPh>
    <rPh sb="1" eb="4">
      <t>ジハツテキ</t>
    </rPh>
    <rPh sb="4" eb="7">
      <t>シツギョウシャ</t>
    </rPh>
    <phoneticPr fontId="2"/>
  </si>
  <si>
    <t>１か月あたりの保険料
（年間保険料÷１２）</t>
    <rPh sb="2" eb="3">
      <t>ゲツ</t>
    </rPh>
    <rPh sb="7" eb="10">
      <t>ホケンリョウ</t>
    </rPh>
    <rPh sb="12" eb="14">
      <t>ネンカン</t>
    </rPh>
    <rPh sb="14" eb="17">
      <t>ホケンリョウ</t>
    </rPh>
    <phoneticPr fontId="2"/>
  </si>
  <si>
    <t>１期あたりの保険料
（年間保険料÷９）</t>
    <rPh sb="1" eb="2">
      <t>キ</t>
    </rPh>
    <rPh sb="6" eb="9">
      <t>ホケンリョウ</t>
    </rPh>
    <rPh sb="11" eb="13">
      <t>ネンカン</t>
    </rPh>
    <rPh sb="13" eb="16">
      <t>ホケンリョウ</t>
    </rPh>
    <phoneticPr fontId="2"/>
  </si>
  <si>
    <r>
      <rPr>
        <b/>
        <sz val="12"/>
        <rFont val="BIZ UDゴシック"/>
        <family val="3"/>
        <charset val="128"/>
      </rPr>
      <t xml:space="preserve"> 保険料</t>
    </r>
    <r>
      <rPr>
        <b/>
        <sz val="11"/>
        <rFont val="Meiryo UI"/>
        <family val="3"/>
        <charset val="128"/>
      </rPr>
      <t/>
    </r>
    <phoneticPr fontId="2"/>
  </si>
  <si>
    <t xml:space="preserve"> (ア)＋(イ)＋(ウ)</t>
    <phoneticPr fontId="2"/>
  </si>
  <si>
    <t>(ア)＋(イ)＋(ウ)</t>
    <phoneticPr fontId="2"/>
  </si>
  <si>
    <t>(ア)＋(イ)＋(ウ)</t>
    <phoneticPr fontId="2"/>
  </si>
  <si>
    <t>未就学（6歳未満）</t>
    <rPh sb="0" eb="3">
      <t>ミシュウガク</t>
    </rPh>
    <rPh sb="5" eb="8">
      <t>サイミマン</t>
    </rPh>
    <phoneticPr fontId="2"/>
  </si>
  <si>
    <t>円</t>
    <rPh sb="0" eb="1">
      <t>エン</t>
    </rPh>
    <phoneticPr fontId="2"/>
  </si>
  <si>
    <t>①　所得割</t>
    <rPh sb="2" eb="4">
      <t>ショトク</t>
    </rPh>
    <rPh sb="4" eb="5">
      <t>ワリ</t>
    </rPh>
    <phoneticPr fontId="2"/>
  </si>
  <si>
    <t>②　均等割</t>
    <rPh sb="2" eb="5">
      <t>キントウワ</t>
    </rPh>
    <phoneticPr fontId="2"/>
  </si>
  <si>
    <t>③　平等割</t>
    <rPh sb="2" eb="4">
      <t>ビョウドウ</t>
    </rPh>
    <rPh sb="4" eb="5">
      <t>ワリ</t>
    </rPh>
    <phoneticPr fontId="2"/>
  </si>
  <si>
    <t>④　小計（①＋②＋③）
※100円未満切り捨て</t>
    <rPh sb="2" eb="4">
      <t>ショウケイ</t>
    </rPh>
    <rPh sb="16" eb="17">
      <t>エン</t>
    </rPh>
    <rPh sb="17" eb="19">
      <t>ミマン</t>
    </rPh>
    <rPh sb="19" eb="20">
      <t>キ</t>
    </rPh>
    <rPh sb="21" eb="22">
      <t>ス</t>
    </rPh>
    <phoneticPr fontId="2"/>
  </si>
  <si>
    <t>均等割と平等割を２割減額しています。</t>
    <rPh sb="4" eb="6">
      <t>ビョウドウ</t>
    </rPh>
    <phoneticPr fontId="2"/>
  </si>
  <si>
    <t>均等割と平等割を７割減額しています。</t>
    <rPh sb="4" eb="6">
      <t>ビョウドウ</t>
    </rPh>
    <phoneticPr fontId="2"/>
  </si>
  <si>
    <t>均等割と平等割を５割減額しています。</t>
    <rPh sb="4" eb="6">
      <t>ビョウドウ</t>
    </rPh>
    <phoneticPr fontId="2"/>
  </si>
  <si>
    <t>非自発的失業者</t>
    <rPh sb="0" eb="1">
      <t>ヒ</t>
    </rPh>
    <rPh sb="1" eb="3">
      <t>ジハツ</t>
    </rPh>
    <rPh sb="3" eb="4">
      <t>テキ</t>
    </rPh>
    <rPh sb="4" eb="7">
      <t>シツギョウシャ</t>
    </rPh>
    <phoneticPr fontId="2"/>
  </si>
  <si>
    <t xml:space="preserve"> (ア)</t>
    <phoneticPr fontId="2"/>
  </si>
  <si>
    <t xml:space="preserve"> (イ)</t>
    <phoneticPr fontId="2"/>
  </si>
  <si>
    <t xml:space="preserve"> (ウ)</t>
    <phoneticPr fontId="2"/>
  </si>
  <si>
    <r>
      <t>……　</t>
    </r>
    <r>
      <rPr>
        <sz val="12"/>
        <rFont val="BIZ UDゴシック"/>
        <family val="3"/>
        <charset val="128"/>
      </rPr>
      <t>①</t>
    </r>
    <phoneticPr fontId="2"/>
  </si>
  <si>
    <t xml:space="preserve"> (イ)</t>
    <phoneticPr fontId="2"/>
  </si>
  <si>
    <t xml:space="preserve"> (ウ)</t>
    <phoneticPr fontId="2"/>
  </si>
  <si>
    <r>
      <t>……　</t>
    </r>
    <r>
      <rPr>
        <sz val="12"/>
        <rFont val="BIZ UDゴシック"/>
        <family val="3"/>
        <charset val="128"/>
      </rPr>
      <t>②</t>
    </r>
    <phoneticPr fontId="2"/>
  </si>
  <si>
    <t xml:space="preserve"> (ア)</t>
    <phoneticPr fontId="2"/>
  </si>
  <si>
    <t xml:space="preserve"> (ウ)</t>
    <phoneticPr fontId="2"/>
  </si>
  <si>
    <r>
      <t>……　</t>
    </r>
    <r>
      <rPr>
        <sz val="12"/>
        <rFont val="BIZ UDゴシック"/>
        <family val="3"/>
        <charset val="128"/>
      </rPr>
      <t>③</t>
    </r>
    <phoneticPr fontId="2"/>
  </si>
  <si>
    <t>試算対象者</t>
    <rPh sb="0" eb="2">
      <t>シサン</t>
    </rPh>
    <rPh sb="2" eb="4">
      <t>タイショウ</t>
    </rPh>
    <rPh sb="4" eb="5">
      <t>シャ</t>
    </rPh>
    <phoneticPr fontId="2"/>
  </si>
  <si>
    <t>【エラーチェック】</t>
    <phoneticPr fontId="2"/>
  </si>
  <si>
    <t>①</t>
    <phoneticPr fontId="2"/>
  </si>
  <si>
    <t>②</t>
    <phoneticPr fontId="2"/>
  </si>
  <si>
    <t>③</t>
    <phoneticPr fontId="2"/>
  </si>
  <si>
    <t>エラーの有無</t>
    <rPh sb="4" eb="6">
      <t>ウム</t>
    </rPh>
    <phoneticPr fontId="2"/>
  </si>
  <si>
    <t>エラーの概要</t>
    <rPh sb="4" eb="6">
      <t>ガイヨウ</t>
    </rPh>
    <phoneticPr fontId="2"/>
  </si>
  <si>
    <t>④世帯主</t>
    <rPh sb="1" eb="4">
      <t>セタイヌシ</t>
    </rPh>
    <phoneticPr fontId="2"/>
  </si>
  <si>
    <t>④加入者1</t>
    <rPh sb="1" eb="4">
      <t>カニュウシャ</t>
    </rPh>
    <phoneticPr fontId="2"/>
  </si>
  <si>
    <t>④加入者2</t>
    <rPh sb="1" eb="4">
      <t>カニュウシャ</t>
    </rPh>
    <phoneticPr fontId="2"/>
  </si>
  <si>
    <t>④加入者3</t>
    <rPh sb="1" eb="4">
      <t>カニュウシャ</t>
    </rPh>
    <phoneticPr fontId="2"/>
  </si>
  <si>
    <t>④加入者4</t>
    <rPh sb="1" eb="4">
      <t>カニュウシャ</t>
    </rPh>
    <phoneticPr fontId="2"/>
  </si>
  <si>
    <t>④加入者5</t>
    <rPh sb="1" eb="4">
      <t>カニュウシャ</t>
    </rPh>
    <phoneticPr fontId="2"/>
  </si>
  <si>
    <t>【エラーチェック結果】</t>
    <rPh sb="8" eb="10">
      <t>ケッカ</t>
    </rPh>
    <phoneticPr fontId="2"/>
  </si>
  <si>
    <t>エラー番号</t>
    <rPh sb="3" eb="5">
      <t>バンゴウ</t>
    </rPh>
    <phoneticPr fontId="2"/>
  </si>
  <si>
    <t>エラー内容</t>
    <rPh sb="3" eb="5">
      <t>ナイヨウ</t>
    </rPh>
    <phoneticPr fontId="2"/>
  </si>
  <si>
    <t>試算日：</t>
    <rPh sb="0" eb="2">
      <t>シサン</t>
    </rPh>
    <rPh sb="2" eb="3">
      <t>ビ</t>
    </rPh>
    <phoneticPr fontId="2"/>
  </si>
  <si>
    <t>前年中の所得に給与所得がある方で離職日時点での年齢が64歳以下、かつ離職理由が倒産、解雇、雇い止めなどによる方は非自発的失業者の欄にチェックを入れてください。</t>
    <rPh sb="56" eb="57">
      <t>ヒ</t>
    </rPh>
    <rPh sb="57" eb="59">
      <t>ジハツ</t>
    </rPh>
    <rPh sb="59" eb="60">
      <t>テキ</t>
    </rPh>
    <rPh sb="60" eb="63">
      <t>シツギョウシャ</t>
    </rPh>
    <rPh sb="64" eb="65">
      <t>ラン</t>
    </rPh>
    <phoneticPr fontId="2"/>
  </si>
  <si>
    <t>【入力フォーム】</t>
    <rPh sb="1" eb="3">
      <t>ニュウリョク</t>
    </rPh>
    <phoneticPr fontId="2"/>
  </si>
  <si>
    <t>【試算結果】</t>
    <rPh sb="1" eb="3">
      <t>シサン</t>
    </rPh>
    <rPh sb="3" eb="5">
      <t>ケッカ</t>
    </rPh>
    <phoneticPr fontId="2"/>
  </si>
  <si>
    <t>令和5年度保険料率</t>
    <rPh sb="0" eb="2">
      <t>レイワ</t>
    </rPh>
    <rPh sb="3" eb="4">
      <t>ネン</t>
    </rPh>
    <rPh sb="4" eb="5">
      <t>ド</t>
    </rPh>
    <rPh sb="5" eb="8">
      <t>ホケンリョウ</t>
    </rPh>
    <rPh sb="8" eb="9">
      <t>リツ</t>
    </rPh>
    <phoneticPr fontId="2"/>
  </si>
  <si>
    <t>令和５年度　美濃加茂市国民健康保険料　試算シート（詳細）</t>
    <rPh sb="25" eb="27">
      <t>ショウサイ</t>
    </rPh>
    <phoneticPr fontId="2"/>
  </si>
  <si>
    <t>令和５年度　美濃加茂市国民健康保険料　試算シート</t>
    <rPh sb="0" eb="2">
      <t>レイワ</t>
    </rPh>
    <rPh sb="3" eb="4">
      <t>ネン</t>
    </rPh>
    <rPh sb="4" eb="5">
      <t>ド</t>
    </rPh>
    <rPh sb="6" eb="11">
      <t>ミノカモシ</t>
    </rPh>
    <rPh sb="11" eb="13">
      <t>コクミン</t>
    </rPh>
    <rPh sb="13" eb="15">
      <t>ケンコウ</t>
    </rPh>
    <rPh sb="15" eb="18">
      <t>ホケンリョウ</t>
    </rPh>
    <rPh sb="19" eb="21">
      <t>シサン</t>
    </rPh>
    <phoneticPr fontId="2"/>
  </si>
  <si>
    <t>6歳（小学校入学）以上40歳未満</t>
    <rPh sb="1" eb="2">
      <t>サイ</t>
    </rPh>
    <rPh sb="3" eb="6">
      <t>ショウガッコウ</t>
    </rPh>
    <rPh sb="6" eb="8">
      <t>ニュウガク</t>
    </rPh>
    <rPh sb="9" eb="11">
      <t>イジョウ</t>
    </rPh>
    <rPh sb="13" eb="16">
      <t>サイミマン</t>
    </rPh>
    <phoneticPr fontId="2"/>
  </si>
  <si>
    <t>世帯員1</t>
    <rPh sb="0" eb="2">
      <t>セタイ</t>
    </rPh>
    <rPh sb="2" eb="3">
      <t>イン</t>
    </rPh>
    <phoneticPr fontId="2"/>
  </si>
  <si>
    <t>世帯員2</t>
    <phoneticPr fontId="2"/>
  </si>
  <si>
    <t>世帯員3</t>
    <phoneticPr fontId="2"/>
  </si>
  <si>
    <t>世帯員4</t>
    <phoneticPr fontId="2"/>
  </si>
  <si>
    <t>世帯員5</t>
    <phoneticPr fontId="2"/>
  </si>
  <si>
    <t>世帯員1</t>
    <phoneticPr fontId="2"/>
  </si>
  <si>
    <t>世帯員2</t>
    <phoneticPr fontId="2"/>
  </si>
  <si>
    <t>世帯員3</t>
    <phoneticPr fontId="2"/>
  </si>
  <si>
    <t>世帯員4</t>
    <phoneticPr fontId="2"/>
  </si>
  <si>
    <t>世帯員5</t>
    <phoneticPr fontId="2"/>
  </si>
  <si>
    <t>世帯員3</t>
    <phoneticPr fontId="2"/>
  </si>
  <si>
    <t>世帯員4</t>
    <phoneticPr fontId="2"/>
  </si>
  <si>
    <t>世帯員5</t>
    <phoneticPr fontId="2"/>
  </si>
  <si>
    <t>【世帯員の年齢区分】</t>
    <rPh sb="1" eb="4">
      <t>セタイイン</t>
    </rPh>
    <rPh sb="5" eb="7">
      <t>ネンレイ</t>
    </rPh>
    <rPh sb="7" eb="9">
      <t>クブン</t>
    </rPh>
    <phoneticPr fontId="2"/>
  </si>
  <si>
    <t>世帯員１</t>
    <phoneticPr fontId="2"/>
  </si>
  <si>
    <t>世帯員１</t>
    <phoneticPr fontId="2"/>
  </si>
  <si>
    <t>世帯員２</t>
    <phoneticPr fontId="2"/>
  </si>
  <si>
    <t>世帯員３</t>
    <phoneticPr fontId="2"/>
  </si>
  <si>
    <t>世帯員４</t>
    <phoneticPr fontId="2"/>
  </si>
  <si>
    <t>世帯員５</t>
    <phoneticPr fontId="2"/>
  </si>
  <si>
    <t>世帯主について「加入する」「加入しない」のいずれかを選択してください。
世帯主及び加入する世帯員の年齢区分「未就学（6歳未満）」、「6歳（小学校入学）以上40歳未満」、「40歳以上65歳未満」、「65歳以上75歳未満」のいずれかを選択してください（令和5年4月1日時点での年齢）。</t>
    <rPh sb="0" eb="3">
      <t>セタイヌシ</t>
    </rPh>
    <rPh sb="8" eb="10">
      <t>カニュウ</t>
    </rPh>
    <rPh sb="14" eb="16">
      <t>カニュウ</t>
    </rPh>
    <rPh sb="26" eb="28">
      <t>センタク</t>
    </rPh>
    <rPh sb="36" eb="39">
      <t>セタイヌシ</t>
    </rPh>
    <rPh sb="39" eb="40">
      <t>オヨ</t>
    </rPh>
    <rPh sb="41" eb="43">
      <t>カニュウ</t>
    </rPh>
    <rPh sb="45" eb="48">
      <t>セタイイン</t>
    </rPh>
    <rPh sb="69" eb="72">
      <t>ショウガッコウ</t>
    </rPh>
    <rPh sb="72" eb="74">
      <t>ニュウガク</t>
    </rPh>
    <rPh sb="75" eb="77">
      <t>イジョウ</t>
    </rPh>
    <rPh sb="124" eb="126">
      <t>レイワ</t>
    </rPh>
    <rPh sb="127" eb="128">
      <t>ネン</t>
    </rPh>
    <rPh sb="129" eb="130">
      <t>ガツ</t>
    </rPh>
    <rPh sb="131" eb="132">
      <t>ニチ</t>
    </rPh>
    <rPh sb="132" eb="134">
      <t>ジテン</t>
    </rPh>
    <rPh sb="136" eb="138">
      <t>ネンレイ</t>
    </rPh>
    <phoneticPr fontId="2"/>
  </si>
  <si>
    <t>世帯主及び加入する世帯員の令和4年中（令和4年1月～12月）の収入金額等を入力してください。
世帯主は、加入しない場合でも必ず入力してください。
給与・年金については収入金額を、その他所得（営業、不動産所得等）がある方はその他所得の合計額に入力してください。</t>
    <rPh sb="5" eb="7">
      <t>カニュウ</t>
    </rPh>
    <rPh sb="9" eb="12">
      <t>セタイイン</t>
    </rPh>
    <rPh sb="19" eb="21">
      <t>レイワ</t>
    </rPh>
    <rPh sb="22" eb="23">
      <t>ネン</t>
    </rPh>
    <rPh sb="24" eb="25">
      <t>ガツ</t>
    </rPh>
    <rPh sb="28" eb="29">
      <t>ガツ</t>
    </rPh>
    <rPh sb="116" eb="118">
      <t>ゴウケイ</t>
    </rPh>
    <rPh sb="118" eb="119">
      <t>ガク</t>
    </rPh>
    <phoneticPr fontId="2"/>
  </si>
  <si>
    <r>
      <t>この試算シートでは、おおよその年間保険料を試算することができます。　</t>
    </r>
    <r>
      <rPr>
        <sz val="11"/>
        <color rgb="FFFF0000"/>
        <rFont val="BIZ UDゴシック"/>
        <family val="3"/>
        <charset val="128"/>
      </rPr>
      <t>※下部の注意事項に該当する方は正確な試算ができません。</t>
    </r>
    <rPh sb="2" eb="4">
      <t>シサン</t>
    </rPh>
    <rPh sb="15" eb="17">
      <t>ネンカン</t>
    </rPh>
    <rPh sb="17" eb="20">
      <t>ホケンリョウ</t>
    </rPh>
    <rPh sb="21" eb="23">
      <t>シサン</t>
    </rPh>
    <rPh sb="35" eb="37">
      <t>カブ</t>
    </rPh>
    <rPh sb="38" eb="40">
      <t>チュウイ</t>
    </rPh>
    <rPh sb="40" eb="42">
      <t>ジコウ</t>
    </rPh>
    <rPh sb="43" eb="45">
      <t>ガイトウ</t>
    </rPh>
    <rPh sb="47" eb="48">
      <t>カタ</t>
    </rPh>
    <rPh sb="49" eb="51">
      <t>セイカク</t>
    </rPh>
    <rPh sb="52" eb="54">
      <t>シサン</t>
    </rPh>
    <phoneticPr fontId="2"/>
  </si>
  <si>
    <t>❶　医療保険分</t>
    <rPh sb="2" eb="4">
      <t>イリョウ</t>
    </rPh>
    <rPh sb="4" eb="6">
      <t>ホケン</t>
    </rPh>
    <rPh sb="6" eb="7">
      <t>ブン</t>
    </rPh>
    <phoneticPr fontId="2"/>
  </si>
  <si>
    <t>❷　後期高齢者支援金分</t>
    <rPh sb="2" eb="7">
      <t>コウキコウレイシャ</t>
    </rPh>
    <rPh sb="7" eb="9">
      <t>シエン</t>
    </rPh>
    <rPh sb="9" eb="10">
      <t>キン</t>
    </rPh>
    <rPh sb="10" eb="11">
      <t>ブン</t>
    </rPh>
    <phoneticPr fontId="2"/>
  </si>
  <si>
    <t>❸　介護保険分</t>
    <rPh sb="2" eb="4">
      <t>カイゴ</t>
    </rPh>
    <rPh sb="4" eb="6">
      <t>ホケン</t>
    </rPh>
    <rPh sb="6" eb="7">
      <t>ブン</t>
    </rPh>
    <phoneticPr fontId="2"/>
  </si>
  <si>
    <t>⑤　年間保険料（④医療保険分＋④後期高齢者支援金分＋④介護保険分）</t>
    <rPh sb="2" eb="4">
      <t>ネンカン</t>
    </rPh>
    <rPh sb="4" eb="7">
      <t>ホケンリョウ</t>
    </rPh>
    <rPh sb="9" eb="11">
      <t>イリョウ</t>
    </rPh>
    <rPh sb="11" eb="13">
      <t>ホケン</t>
    </rPh>
    <rPh sb="13" eb="14">
      <t>ブン</t>
    </rPh>
    <rPh sb="16" eb="21">
      <t>コウキコウレイシャ</t>
    </rPh>
    <rPh sb="21" eb="23">
      <t>シエン</t>
    </rPh>
    <rPh sb="23" eb="24">
      <t>キン</t>
    </rPh>
    <rPh sb="24" eb="25">
      <t>ブン</t>
    </rPh>
    <rPh sb="27" eb="29">
      <t>カイゴ</t>
    </rPh>
    <rPh sb="29" eb="31">
      <t>ホケン</t>
    </rPh>
    <rPh sb="31" eb="32">
      <t>ブン</t>
    </rPh>
    <phoneticPr fontId="2"/>
  </si>
  <si>
    <r>
      <t>❸　介護保険分</t>
    </r>
    <r>
      <rPr>
        <sz val="8"/>
        <rFont val="BIZ UDゴシック"/>
        <family val="3"/>
        <charset val="128"/>
      </rPr>
      <t>（40歳から65歳未満の被保険者のみ）</t>
    </r>
    <rPh sb="2" eb="4">
      <t>カイゴ</t>
    </rPh>
    <rPh sb="4" eb="6">
      <t>ホケン</t>
    </rPh>
    <rPh sb="6" eb="7">
      <t>ブン</t>
    </rPh>
    <rPh sb="16" eb="18">
      <t>ミマン</t>
    </rPh>
    <phoneticPr fontId="2"/>
  </si>
  <si>
    <t>医療保険分</t>
    <rPh sb="0" eb="2">
      <t>イリョウ</t>
    </rPh>
    <rPh sb="2" eb="4">
      <t>ホケン</t>
    </rPh>
    <rPh sb="4" eb="5">
      <t>ブン</t>
    </rPh>
    <phoneticPr fontId="2"/>
  </si>
  <si>
    <t>後期高齢者支援金分</t>
    <rPh sb="0" eb="2">
      <t>コウキ</t>
    </rPh>
    <rPh sb="2" eb="5">
      <t>コウレイシャ</t>
    </rPh>
    <rPh sb="5" eb="7">
      <t>シエン</t>
    </rPh>
    <rPh sb="7" eb="8">
      <t>キン</t>
    </rPh>
    <rPh sb="8" eb="9">
      <t>ブン</t>
    </rPh>
    <phoneticPr fontId="2"/>
  </si>
  <si>
    <t>介護保険分</t>
    <rPh sb="0" eb="2">
      <t>カイゴ</t>
    </rPh>
    <rPh sb="2" eb="4">
      <t>ホケン</t>
    </rPh>
    <rPh sb="4" eb="5">
      <t>ブン</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</si>
</sst>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quot;円&quot;;&quot;▲ &quot;#,##0&quot;円&quot;"/>
    <numFmt numFmtId="177" formatCode="General&quot;人&quot;"/>
    <numFmt numFmtId="178" formatCode="[$-411]ggge&quot;年&quot;m&quot;月&quot;d&quot;日&quot;;@"/>
  </numFmts>
  <fonts count="50" x14ac:knownFonts="1">
    <font>
      <sz val="11"/>
      <name val="ＭＳ Ｐゴシック"/>
      <family val="3"/>
      <charset val="128"/>
    </font>
    <font>
      <sz val="11"/>
      <name val="ＭＳ Ｐゴシック"/>
      <family val="3"/>
      <charset val="128"/>
    </font>
    <font>
      <sz val="6"/>
      <name val="ＭＳ Ｐゴシック"/>
      <family val="3"/>
      <charset val="128"/>
    </font>
    <font>
      <b/>
      <sz val="11"/>
      <color indexed="9"/>
      <name val="ＭＳ Ｐゴシック"/>
      <family val="3"/>
      <charset val="128"/>
    </font>
    <font>
      <sz val="11"/>
      <color indexed="9"/>
      <name val="ＭＳ Ｐゴシック"/>
      <family val="3"/>
      <charset val="128"/>
    </font>
    <font>
      <sz val="11"/>
      <color indexed="8"/>
      <name val="ＭＳ Ｐゴシック"/>
      <family val="3"/>
      <charset val="128"/>
    </font>
    <font>
      <b/>
      <sz val="18"/>
      <color indexed="56"/>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name val="Meiryo UI"/>
      <family val="3"/>
      <charset val="128"/>
    </font>
    <font>
      <b/>
      <sz val="11"/>
      <name val="Meiryo UI"/>
      <family val="3"/>
      <charset val="128"/>
    </font>
    <font>
      <b/>
      <sz val="12"/>
      <name val="Meiryo UI"/>
      <family val="3"/>
      <charset val="128"/>
    </font>
    <font>
      <sz val="11"/>
      <color rgb="FFFF0000"/>
      <name val="Meiryo UI"/>
      <family val="3"/>
      <charset val="128"/>
    </font>
    <font>
      <sz val="18"/>
      <name val="BIZ UDゴシック"/>
      <family val="3"/>
      <charset val="128"/>
    </font>
    <font>
      <sz val="11"/>
      <name val="BIZ UDゴシック"/>
      <family val="3"/>
      <charset val="128"/>
    </font>
    <font>
      <sz val="16"/>
      <name val="BIZ UDゴシック"/>
      <family val="3"/>
      <charset val="128"/>
    </font>
    <font>
      <sz val="14"/>
      <name val="BIZ UDゴシック"/>
      <family val="3"/>
      <charset val="128"/>
    </font>
    <font>
      <sz val="12"/>
      <name val="BIZ UDゴシック"/>
      <family val="3"/>
      <charset val="128"/>
    </font>
    <font>
      <b/>
      <sz val="11"/>
      <name val="BIZ UDゴシック"/>
      <family val="3"/>
      <charset val="128"/>
    </font>
    <font>
      <sz val="11"/>
      <color indexed="10"/>
      <name val="BIZ UDゴシック"/>
      <family val="3"/>
      <charset val="128"/>
    </font>
    <font>
      <b/>
      <sz val="12"/>
      <name val="BIZ UDゴシック"/>
      <family val="3"/>
      <charset val="128"/>
    </font>
    <font>
      <sz val="11"/>
      <color indexed="8"/>
      <name val="BIZ UDゴシック"/>
      <family val="3"/>
      <charset val="128"/>
    </font>
    <font>
      <sz val="13"/>
      <name val="BIZ UDゴシック"/>
      <family val="3"/>
      <charset val="128"/>
    </font>
    <font>
      <b/>
      <sz val="14"/>
      <name val="BIZ UDゴシック"/>
      <family val="3"/>
      <charset val="128"/>
    </font>
    <font>
      <sz val="10"/>
      <name val="BIZ UDゴシック"/>
      <family val="3"/>
      <charset val="128"/>
    </font>
    <font>
      <sz val="9"/>
      <name val="BIZ UDゴシック"/>
      <family val="3"/>
      <charset val="128"/>
    </font>
    <font>
      <b/>
      <sz val="16"/>
      <color indexed="10"/>
      <name val="BIZ UDゴシック"/>
      <family val="3"/>
      <charset val="128"/>
    </font>
    <font>
      <sz val="10"/>
      <color indexed="10"/>
      <name val="BIZ UDゴシック"/>
      <family val="3"/>
      <charset val="128"/>
    </font>
    <font>
      <b/>
      <sz val="12"/>
      <color indexed="10"/>
      <name val="BIZ UDゴシック"/>
      <family val="3"/>
      <charset val="128"/>
    </font>
    <font>
      <b/>
      <sz val="11"/>
      <color indexed="10"/>
      <name val="BIZ UDゴシック"/>
      <family val="3"/>
      <charset val="128"/>
    </font>
    <font>
      <b/>
      <sz val="18"/>
      <color indexed="10"/>
      <name val="BIZ UDゴシック"/>
      <family val="3"/>
      <charset val="128"/>
    </font>
    <font>
      <b/>
      <sz val="16"/>
      <name val="BIZ UDゴシック"/>
      <family val="3"/>
      <charset val="128"/>
    </font>
    <font>
      <sz val="11"/>
      <color theme="0"/>
      <name val="BIZ UDゴシック"/>
      <family val="3"/>
      <charset val="128"/>
    </font>
    <font>
      <b/>
      <sz val="11"/>
      <color rgb="FFFF0000"/>
      <name val="BIZ UDゴシック"/>
      <family val="3"/>
      <charset val="128"/>
    </font>
    <font>
      <b/>
      <sz val="14"/>
      <color rgb="FFFF0000"/>
      <name val="BIZ UDゴシック"/>
      <family val="3"/>
      <charset val="128"/>
    </font>
    <font>
      <sz val="14"/>
      <color theme="1"/>
      <name val="BIZ UDゴシック"/>
      <family val="3"/>
      <charset val="128"/>
    </font>
    <font>
      <sz val="7"/>
      <name val="BIZ UDゴシック"/>
      <family val="3"/>
      <charset val="128"/>
    </font>
    <font>
      <sz val="11"/>
      <color rgb="FFFF0000"/>
      <name val="BIZ UDゴシック"/>
      <family val="3"/>
      <charset val="128"/>
    </font>
    <font>
      <sz val="8"/>
      <name val="BIZ UDゴシック"/>
      <family val="3"/>
      <charset val="128"/>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9"/>
        <bgColor indexed="64"/>
      </patternFill>
    </fill>
    <fill>
      <patternFill patternType="solid">
        <fgColor indexed="33"/>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3" tint="0.59999389629810485"/>
        <bgColor indexed="64"/>
      </patternFill>
    </fill>
    <fill>
      <patternFill patternType="solid">
        <fgColor theme="6" tint="0.39997558519241921"/>
        <bgColor indexed="64"/>
      </patternFill>
    </fill>
    <fill>
      <patternFill patternType="solid">
        <fgColor theme="9" tint="0.39997558519241921"/>
        <bgColor indexed="64"/>
      </patternFill>
    </fill>
    <fill>
      <patternFill patternType="solid">
        <fgColor theme="0"/>
        <bgColor indexed="64"/>
      </patternFill>
    </fill>
  </fills>
  <borders count="13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9"/>
      </left>
      <right style="thin">
        <color indexed="9"/>
      </right>
      <top/>
      <bottom/>
      <diagonal/>
    </border>
    <border>
      <left/>
      <right style="thin">
        <color indexed="23"/>
      </right>
      <top style="thin">
        <color indexed="23"/>
      </top>
      <bottom style="thin">
        <color indexed="23"/>
      </bottom>
      <diagonal/>
    </border>
    <border>
      <left/>
      <right/>
      <top/>
      <bottom style="medium">
        <color indexed="64"/>
      </bottom>
      <diagonal/>
    </border>
    <border>
      <left/>
      <right/>
      <top/>
      <bottom style="thin">
        <color indexed="55"/>
      </bottom>
      <diagonal/>
    </border>
    <border>
      <left/>
      <right/>
      <top style="thin">
        <color indexed="55"/>
      </top>
      <bottom/>
      <diagonal/>
    </border>
    <border>
      <left/>
      <right style="thin">
        <color indexed="55"/>
      </right>
      <top style="thin">
        <color indexed="55"/>
      </top>
      <bottom/>
      <diagonal/>
    </border>
    <border>
      <left/>
      <right style="thin">
        <color indexed="55"/>
      </right>
      <top/>
      <bottom/>
      <diagonal/>
    </border>
    <border>
      <left/>
      <right style="thin">
        <color indexed="55"/>
      </right>
      <top/>
      <bottom style="thin">
        <color indexed="55"/>
      </bottom>
      <diagonal/>
    </border>
    <border>
      <left/>
      <right/>
      <top/>
      <bottom style="dotted">
        <color indexed="22"/>
      </bottom>
      <diagonal/>
    </border>
    <border>
      <left/>
      <right/>
      <top style="medium">
        <color indexed="23"/>
      </top>
      <bottom style="medium">
        <color indexed="23"/>
      </bottom>
      <diagonal/>
    </border>
    <border>
      <left/>
      <right style="dotted">
        <color indexed="23"/>
      </right>
      <top style="medium">
        <color indexed="23"/>
      </top>
      <bottom style="medium">
        <color indexed="23"/>
      </bottom>
      <diagonal/>
    </border>
    <border>
      <left/>
      <right/>
      <top style="thin">
        <color indexed="23"/>
      </top>
      <bottom style="thin">
        <color indexed="23"/>
      </bottom>
      <diagonal/>
    </border>
    <border>
      <left/>
      <right style="dotted">
        <color indexed="23"/>
      </right>
      <top style="thin">
        <color indexed="23"/>
      </top>
      <bottom style="thin">
        <color indexed="23"/>
      </bottom>
      <diagonal/>
    </border>
    <border>
      <left style="thin">
        <color indexed="23"/>
      </left>
      <right/>
      <top style="thin">
        <color indexed="23"/>
      </top>
      <bottom style="thin">
        <color indexed="23"/>
      </bottom>
      <diagonal/>
    </border>
    <border>
      <left/>
      <right/>
      <top style="dotted">
        <color indexed="22"/>
      </top>
      <bottom style="dotted">
        <color indexed="22"/>
      </bottom>
      <diagonal/>
    </border>
    <border>
      <left/>
      <right style="thin">
        <color indexed="22"/>
      </right>
      <top style="dotted">
        <color indexed="22"/>
      </top>
      <bottom style="dotted">
        <color indexed="22"/>
      </bottom>
      <diagonal/>
    </border>
    <border>
      <left style="thin">
        <color indexed="22"/>
      </left>
      <right/>
      <top style="dotted">
        <color indexed="22"/>
      </top>
      <bottom style="dotted">
        <color indexed="22"/>
      </bottom>
      <diagonal/>
    </border>
    <border>
      <left/>
      <right style="thin">
        <color indexed="22"/>
      </right>
      <top/>
      <bottom/>
      <diagonal/>
    </border>
    <border>
      <left style="thin">
        <color indexed="22"/>
      </left>
      <right/>
      <top/>
      <bottom/>
      <diagonal/>
    </border>
    <border>
      <left style="thin">
        <color indexed="22"/>
      </left>
      <right style="thin">
        <color indexed="22"/>
      </right>
      <top style="dotted">
        <color indexed="22"/>
      </top>
      <bottom/>
      <diagonal/>
    </border>
    <border>
      <left style="thin">
        <color indexed="22"/>
      </left>
      <right style="thin">
        <color indexed="22"/>
      </right>
      <top style="dotted">
        <color indexed="22"/>
      </top>
      <bottom style="dotted">
        <color indexed="22"/>
      </bottom>
      <diagonal/>
    </border>
    <border>
      <left/>
      <right/>
      <top style="dotted">
        <color indexed="22"/>
      </top>
      <bottom/>
      <diagonal/>
    </border>
    <border>
      <left/>
      <right/>
      <top style="dotted">
        <color indexed="22"/>
      </top>
      <bottom style="thin">
        <color indexed="22"/>
      </bottom>
      <diagonal/>
    </border>
    <border>
      <left/>
      <right/>
      <top style="thin">
        <color indexed="22"/>
      </top>
      <bottom style="dotted">
        <color indexed="22"/>
      </bottom>
      <diagonal/>
    </border>
    <border>
      <left style="thin">
        <color indexed="22"/>
      </left>
      <right/>
      <top/>
      <bottom style="dotted">
        <color indexed="22"/>
      </bottom>
      <diagonal/>
    </border>
    <border>
      <left/>
      <right style="thin">
        <color indexed="22"/>
      </right>
      <top/>
      <bottom style="dotted">
        <color indexed="22"/>
      </bottom>
      <diagonal/>
    </border>
    <border>
      <left/>
      <right style="thin">
        <color indexed="9"/>
      </right>
      <top style="dotted">
        <color indexed="22"/>
      </top>
      <bottom style="dotted">
        <color indexed="22"/>
      </bottom>
      <diagonal/>
    </border>
    <border>
      <left/>
      <right style="thin">
        <color indexed="9"/>
      </right>
      <top/>
      <bottom/>
      <diagonal/>
    </border>
    <border>
      <left style="thin">
        <color indexed="9"/>
      </left>
      <right style="thin">
        <color indexed="9"/>
      </right>
      <top style="dotted">
        <color indexed="22"/>
      </top>
      <bottom style="dotted">
        <color indexed="22"/>
      </bottom>
      <diagonal/>
    </border>
    <border>
      <left/>
      <right/>
      <top style="thin">
        <color indexed="9"/>
      </top>
      <bottom/>
      <diagonal/>
    </border>
    <border>
      <left style="medium">
        <color indexed="23"/>
      </left>
      <right/>
      <top style="medium">
        <color indexed="23"/>
      </top>
      <bottom style="medium">
        <color indexed="23"/>
      </bottom>
      <diagonal/>
    </border>
    <border>
      <left style="dotted">
        <color indexed="23"/>
      </left>
      <right/>
      <top style="medium">
        <color indexed="23"/>
      </top>
      <bottom style="medium">
        <color indexed="23"/>
      </bottom>
      <diagonal/>
    </border>
    <border>
      <left/>
      <right style="medium">
        <color indexed="23"/>
      </right>
      <top style="medium">
        <color indexed="23"/>
      </top>
      <bottom style="medium">
        <color indexed="23"/>
      </bottom>
      <diagonal/>
    </border>
    <border>
      <left style="thin">
        <color indexed="22"/>
      </left>
      <right style="thin">
        <color indexed="22"/>
      </right>
      <top style="thin">
        <color indexed="22"/>
      </top>
      <bottom/>
      <diagonal/>
    </border>
    <border>
      <left style="thin">
        <color indexed="22"/>
      </left>
      <right style="thin">
        <color indexed="22"/>
      </right>
      <top/>
      <bottom/>
      <diagonal/>
    </border>
    <border>
      <left style="thin">
        <color indexed="22"/>
      </left>
      <right style="thin">
        <color indexed="22"/>
      </right>
      <top/>
      <bottom style="thin">
        <color indexed="22"/>
      </bottom>
      <diagonal/>
    </border>
    <border>
      <left style="dotted">
        <color indexed="23"/>
      </left>
      <right/>
      <top style="thin">
        <color indexed="23"/>
      </top>
      <bottom style="thin">
        <color indexed="23"/>
      </bottom>
      <diagonal/>
    </border>
    <border>
      <left/>
      <right/>
      <top/>
      <bottom style="thin">
        <color indexed="9"/>
      </bottom>
      <diagonal/>
    </border>
    <border>
      <left style="thin">
        <color indexed="22"/>
      </left>
      <right style="thin">
        <color indexed="22"/>
      </right>
      <top style="thin">
        <color indexed="22"/>
      </top>
      <bottom style="dashed">
        <color indexed="22"/>
      </bottom>
      <diagonal/>
    </border>
    <border>
      <left style="thin">
        <color indexed="22"/>
      </left>
      <right style="thin">
        <color indexed="22"/>
      </right>
      <top style="dashed">
        <color indexed="22"/>
      </top>
      <bottom style="thin">
        <color indexed="22"/>
      </bottom>
      <diagonal/>
    </border>
    <border>
      <left/>
      <right/>
      <top/>
      <bottom style="thin">
        <color indexed="22"/>
      </bottom>
      <diagonal/>
    </border>
    <border>
      <left style="medium">
        <color indexed="64"/>
      </left>
      <right style="thin">
        <color indexed="64"/>
      </right>
      <top style="thin">
        <color indexed="64"/>
      </top>
      <bottom style="medium">
        <color indexed="64"/>
      </bottom>
      <diagonal/>
    </border>
    <border>
      <left/>
      <right/>
      <top style="double">
        <color indexed="55"/>
      </top>
      <bottom style="double">
        <color indexed="55"/>
      </bottom>
      <diagonal/>
    </border>
    <border>
      <left style="thin">
        <color indexed="55"/>
      </left>
      <right/>
      <top/>
      <bottom style="thin">
        <color indexed="55"/>
      </bottom>
      <diagonal/>
    </border>
    <border>
      <left/>
      <right style="double">
        <color indexed="55"/>
      </right>
      <top style="double">
        <color indexed="55"/>
      </top>
      <bottom style="double">
        <color indexed="55"/>
      </bottom>
      <diagonal/>
    </border>
    <border>
      <left style="double">
        <color indexed="55"/>
      </left>
      <right/>
      <top style="double">
        <color indexed="55"/>
      </top>
      <bottom style="double">
        <color indexed="55"/>
      </bottom>
      <diagonal/>
    </border>
    <border>
      <left style="thin">
        <color indexed="55"/>
      </left>
      <right/>
      <top style="thin">
        <color indexed="55"/>
      </top>
      <bottom style="thin">
        <color indexed="64"/>
      </bottom>
      <diagonal/>
    </border>
    <border>
      <left style="thin">
        <color indexed="55"/>
      </left>
      <right/>
      <top style="thin">
        <color indexed="64"/>
      </top>
      <bottom style="thin">
        <color indexed="64"/>
      </bottom>
      <diagonal/>
    </border>
    <border>
      <left style="thin">
        <color indexed="55"/>
      </left>
      <right/>
      <top style="thin">
        <color indexed="64"/>
      </top>
      <bottom/>
      <diagonal/>
    </border>
    <border>
      <left style="thin">
        <color indexed="55"/>
      </left>
      <right/>
      <top style="thin">
        <color indexed="55"/>
      </top>
      <bottom/>
      <diagonal/>
    </border>
    <border>
      <left style="thin">
        <color indexed="55"/>
      </left>
      <right/>
      <top/>
      <bottom/>
      <diagonal/>
    </border>
    <border>
      <left style="thin">
        <color indexed="55"/>
      </left>
      <right/>
      <top style="dotted">
        <color indexed="22"/>
      </top>
      <bottom style="dotted">
        <color indexed="22"/>
      </bottom>
      <diagonal/>
    </border>
    <border>
      <left style="thin">
        <color indexed="55"/>
      </left>
      <right/>
      <top/>
      <bottom style="double">
        <color indexed="55"/>
      </bottom>
      <diagonal/>
    </border>
    <border>
      <left style="thin">
        <color indexed="55"/>
      </left>
      <right/>
      <top/>
      <bottom style="thin">
        <color indexed="64"/>
      </bottom>
      <diagonal/>
    </border>
    <border>
      <left style="thin">
        <color indexed="64"/>
      </left>
      <right style="thin">
        <color indexed="64"/>
      </right>
      <top/>
      <bottom style="thin">
        <color indexed="64"/>
      </bottom>
      <diagonal/>
    </border>
    <border>
      <left style="thin">
        <color indexed="55"/>
      </left>
      <right style="thin">
        <color indexed="55"/>
      </right>
      <top/>
      <bottom/>
      <diagonal/>
    </border>
    <border>
      <left style="thin">
        <color indexed="55"/>
      </left>
      <right style="thin">
        <color indexed="55"/>
      </right>
      <top/>
      <bottom style="thin">
        <color indexed="55"/>
      </bottom>
      <diagonal/>
    </border>
    <border>
      <left/>
      <right/>
      <top style="dotted">
        <color indexed="55"/>
      </top>
      <bottom/>
      <diagonal/>
    </border>
    <border>
      <left style="thin">
        <color auto="1"/>
      </left>
      <right style="thin">
        <color auto="1"/>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auto="1"/>
      </left>
      <right style="thin">
        <color auto="1"/>
      </right>
      <top style="medium">
        <color auto="1"/>
      </top>
      <bottom style="medium">
        <color auto="1"/>
      </bottom>
      <diagonal/>
    </border>
    <border>
      <left/>
      <right style="thin">
        <color auto="1"/>
      </right>
      <top style="medium">
        <color auto="1"/>
      </top>
      <bottom style="medium">
        <color auto="1"/>
      </bottom>
      <diagonal/>
    </border>
    <border>
      <left/>
      <right/>
      <top style="thin">
        <color indexed="55"/>
      </top>
      <bottom/>
      <diagonal/>
    </border>
    <border>
      <left/>
      <right/>
      <top/>
      <bottom style="double">
        <color indexed="55"/>
      </bottom>
      <diagonal/>
    </border>
    <border>
      <left style="thin">
        <color indexed="64"/>
      </left>
      <right style="thin">
        <color indexed="64"/>
      </right>
      <top style="thin">
        <color indexed="64"/>
      </top>
      <bottom style="thin">
        <color indexed="64"/>
      </bottom>
      <diagonal/>
    </border>
    <border>
      <left style="thin">
        <color indexed="55"/>
      </left>
      <right/>
      <top style="thin">
        <color indexed="64"/>
      </top>
      <bottom/>
      <diagonal/>
    </border>
    <border>
      <left style="thin">
        <color indexed="55"/>
      </left>
      <right/>
      <top/>
      <bottom style="dotted">
        <color indexed="22"/>
      </bottom>
      <diagonal/>
    </border>
    <border>
      <left style="thin">
        <color indexed="55"/>
      </left>
      <right/>
      <top style="thin">
        <color indexed="55"/>
      </top>
      <bottom/>
      <diagonal/>
    </border>
    <border>
      <left/>
      <right style="thin">
        <color indexed="55"/>
      </right>
      <top style="thin">
        <color indexed="55"/>
      </top>
      <bottom/>
      <diagonal/>
    </border>
    <border>
      <left style="thin">
        <color indexed="22"/>
      </left>
      <right style="thin">
        <color indexed="22"/>
      </right>
      <top style="thin">
        <color indexed="22"/>
      </top>
      <bottom/>
      <diagonal/>
    </border>
    <border>
      <left style="thin">
        <color indexed="55"/>
      </left>
      <right/>
      <top style="dotted">
        <color indexed="22"/>
      </top>
      <bottom/>
      <diagonal/>
    </border>
    <border>
      <left style="thin">
        <color indexed="22"/>
      </left>
      <right/>
      <top style="dotted">
        <color indexed="22"/>
      </top>
      <bottom/>
      <diagonal/>
    </border>
    <border>
      <left style="thin">
        <color indexed="55"/>
      </left>
      <right/>
      <top style="dotted">
        <color indexed="55"/>
      </top>
      <bottom/>
      <diagonal/>
    </border>
    <border>
      <left/>
      <right/>
      <top/>
      <bottom style="dotted">
        <color indexed="55"/>
      </bottom>
      <diagonal/>
    </border>
    <border>
      <left style="thin">
        <color indexed="55"/>
      </left>
      <right/>
      <top style="thin">
        <color indexed="64"/>
      </top>
      <bottom/>
      <diagonal/>
    </border>
    <border>
      <left/>
      <right style="thin">
        <color indexed="55"/>
      </right>
      <top/>
      <bottom style="double">
        <color indexed="55"/>
      </bottom>
      <diagonal/>
    </border>
    <border>
      <left style="thin">
        <color indexed="9"/>
      </left>
      <right style="thin">
        <color indexed="9"/>
      </right>
      <top style="dotted">
        <color indexed="22"/>
      </top>
      <bottom/>
      <diagonal/>
    </border>
    <border>
      <left style="thin">
        <color indexed="55"/>
      </left>
      <right/>
      <top/>
      <bottom style="dotted">
        <color indexed="55"/>
      </bottom>
      <diagonal/>
    </border>
    <border>
      <left style="thin">
        <color indexed="55"/>
      </left>
      <right/>
      <top style="thin">
        <color indexed="55"/>
      </top>
      <bottom/>
      <diagonal/>
    </border>
    <border>
      <left/>
      <right/>
      <top style="thin">
        <color indexed="55"/>
      </top>
      <bottom/>
      <diagonal/>
    </border>
    <border>
      <left/>
      <right style="thin">
        <color indexed="55"/>
      </right>
      <top style="thin">
        <color indexed="55"/>
      </top>
      <bottom/>
      <diagonal/>
    </border>
    <border>
      <left/>
      <right style="thin">
        <color indexed="22"/>
      </right>
      <top style="dotted">
        <color indexed="22"/>
      </top>
      <bottom/>
      <diagonal/>
    </border>
    <border>
      <left style="thin">
        <color indexed="55"/>
      </left>
      <right style="thin">
        <color indexed="55"/>
      </right>
      <top/>
      <bottom style="thin">
        <color indexed="64"/>
      </bottom>
      <diagonal/>
    </border>
    <border>
      <left style="thin">
        <color indexed="55"/>
      </left>
      <right style="thin">
        <color indexed="55"/>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bottom style="medium">
        <color indexed="64"/>
      </bottom>
      <diagonal/>
    </border>
    <border>
      <left style="thin">
        <color indexed="64"/>
      </left>
      <right style="medium">
        <color indexed="64"/>
      </right>
      <top/>
      <bottom style="thin">
        <color indexed="64"/>
      </bottom>
      <diagonal/>
    </border>
    <border>
      <left/>
      <right style="thin">
        <color theme="0"/>
      </right>
      <top/>
      <bottom/>
      <diagonal/>
    </border>
    <border>
      <left style="thin">
        <color theme="0"/>
      </left>
      <right/>
      <top/>
      <bottom/>
      <diagonal/>
    </border>
    <border>
      <left/>
      <right style="thin">
        <color indexed="64"/>
      </right>
      <top/>
      <bottom/>
      <diagonal/>
    </border>
    <border diagonalUp="1">
      <left style="thin">
        <color indexed="64"/>
      </left>
      <right style="thin">
        <color indexed="64"/>
      </right>
      <top style="thin">
        <color indexed="64"/>
      </top>
      <bottom style="thin">
        <color indexed="64"/>
      </bottom>
      <diagonal style="thin">
        <color indexed="64"/>
      </diagonal>
    </border>
  </borders>
  <cellStyleXfs count="43">
    <xf numFmtId="0" fontId="0" fillId="0" borderId="0">
      <alignment vertical="center"/>
    </xf>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4" fillId="12"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5" borderId="0" applyNumberFormat="0" applyBorder="0" applyAlignment="0" applyProtection="0">
      <alignment vertical="center"/>
    </xf>
    <xf numFmtId="0" fontId="4" fillId="16" borderId="0" applyNumberFormat="0" applyBorder="0" applyAlignment="0" applyProtection="0">
      <alignment vertical="center"/>
    </xf>
    <xf numFmtId="0" fontId="4" fillId="17" borderId="0" applyNumberFormat="0" applyBorder="0" applyAlignment="0" applyProtection="0">
      <alignment vertical="center"/>
    </xf>
    <xf numFmtId="0" fontId="4" fillId="18"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9" borderId="0" applyNumberFormat="0" applyBorder="0" applyAlignment="0" applyProtection="0">
      <alignment vertical="center"/>
    </xf>
    <xf numFmtId="0" fontId="6" fillId="0" borderId="0" applyNumberFormat="0" applyFill="0" applyBorder="0" applyAlignment="0" applyProtection="0">
      <alignment vertical="center"/>
    </xf>
    <xf numFmtId="0" fontId="3" fillId="20" borderId="1" applyNumberFormat="0" applyAlignment="0" applyProtection="0">
      <alignment vertical="center"/>
    </xf>
    <xf numFmtId="0" fontId="7" fillId="21" borderId="0" applyNumberFormat="0" applyBorder="0" applyAlignment="0" applyProtection="0">
      <alignment vertical="center"/>
    </xf>
    <xf numFmtId="0" fontId="5" fillId="22" borderId="2" applyNumberFormat="0" applyFont="0" applyAlignment="0" applyProtection="0">
      <alignment vertical="center"/>
    </xf>
    <xf numFmtId="0" fontId="8" fillId="0" borderId="3" applyNumberFormat="0" applyFill="0" applyAlignment="0" applyProtection="0">
      <alignment vertical="center"/>
    </xf>
    <xf numFmtId="0" fontId="9" fillId="3" borderId="0" applyNumberFormat="0" applyBorder="0" applyAlignment="0" applyProtection="0">
      <alignment vertical="center"/>
    </xf>
    <xf numFmtId="0" fontId="10" fillId="23" borderId="4" applyNumberFormat="0" applyAlignment="0" applyProtection="0">
      <alignment vertical="center"/>
    </xf>
    <xf numFmtId="0" fontId="11" fillId="0" borderId="0" applyNumberFormat="0" applyFill="0" applyBorder="0" applyAlignment="0" applyProtection="0">
      <alignment vertical="center"/>
    </xf>
    <xf numFmtId="38" fontId="1" fillId="0" borderId="0" applyFont="0" applyFill="0" applyBorder="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23" borderId="9" applyNumberFormat="0" applyAlignment="0" applyProtection="0">
      <alignment vertical="center"/>
    </xf>
    <xf numFmtId="0" fontId="17" fillId="0" borderId="0" applyNumberFormat="0" applyFill="0" applyBorder="0" applyAlignment="0" applyProtection="0">
      <alignment vertical="center"/>
    </xf>
    <xf numFmtId="0" fontId="18" fillId="7" borderId="4" applyNumberFormat="0" applyAlignment="0" applyProtection="0">
      <alignment vertical="center"/>
    </xf>
    <xf numFmtId="0" fontId="19" fillId="4" borderId="0" applyNumberFormat="0" applyBorder="0" applyAlignment="0" applyProtection="0">
      <alignment vertical="center"/>
    </xf>
  </cellStyleXfs>
  <cellXfs count="386">
    <xf numFmtId="0" fontId="0" fillId="0" borderId="0" xfId="0">
      <alignment vertical="center"/>
    </xf>
    <xf numFmtId="0" fontId="20" fillId="24" borderId="0" xfId="0" applyFont="1" applyFill="1">
      <alignment vertical="center"/>
    </xf>
    <xf numFmtId="0" fontId="20" fillId="24" borderId="0" xfId="0" applyFont="1" applyFill="1" applyBorder="1">
      <alignment vertical="center"/>
    </xf>
    <xf numFmtId="0" fontId="20" fillId="24" borderId="0" xfId="0" applyFont="1" applyFill="1" applyAlignment="1">
      <alignment horizontal="center" vertical="center"/>
    </xf>
    <xf numFmtId="0" fontId="20" fillId="0" borderId="0" xfId="0" applyFont="1">
      <alignment vertical="center"/>
    </xf>
    <xf numFmtId="0" fontId="23" fillId="24" borderId="0" xfId="0" applyFont="1" applyFill="1">
      <alignment vertical="center"/>
    </xf>
    <xf numFmtId="0" fontId="0" fillId="0" borderId="78" xfId="0" applyBorder="1" applyAlignment="1">
      <alignment vertical="center" shrinkToFit="1"/>
    </xf>
    <xf numFmtId="0" fontId="0" fillId="0" borderId="0" xfId="0" applyAlignment="1">
      <alignment vertical="center" shrinkToFit="1"/>
    </xf>
    <xf numFmtId="0" fontId="25" fillId="0" borderId="0" xfId="0" applyFont="1">
      <alignment vertical="center"/>
    </xf>
    <xf numFmtId="0" fontId="25" fillId="24" borderId="0" xfId="0" applyFont="1" applyFill="1">
      <alignment vertical="center"/>
    </xf>
    <xf numFmtId="0" fontId="25" fillId="24" borderId="0" xfId="0" applyFont="1" applyFill="1" applyAlignment="1">
      <alignment horizontal="center" vertical="center"/>
    </xf>
    <xf numFmtId="0" fontId="25" fillId="24" borderId="0" xfId="0" applyFont="1" applyFill="1" applyBorder="1">
      <alignment vertical="center"/>
    </xf>
    <xf numFmtId="0" fontId="25" fillId="24" borderId="0" xfId="0" applyFont="1" applyFill="1" applyBorder="1" applyAlignment="1">
      <alignment horizontal="center" vertical="center"/>
    </xf>
    <xf numFmtId="0" fontId="29" fillId="24" borderId="0" xfId="0" applyFont="1" applyFill="1" applyBorder="1">
      <alignment vertical="center"/>
    </xf>
    <xf numFmtId="0" fontId="30" fillId="24" borderId="0" xfId="0" applyFont="1" applyFill="1" applyBorder="1">
      <alignment vertical="center"/>
    </xf>
    <xf numFmtId="0" fontId="25" fillId="24" borderId="61" xfId="0" applyFont="1" applyFill="1" applyBorder="1" applyAlignment="1">
      <alignment horizontal="center" vertical="center"/>
    </xf>
    <xf numFmtId="0" fontId="25" fillId="24" borderId="16" xfId="0" applyFont="1" applyFill="1" applyBorder="1">
      <alignment vertical="center"/>
    </xf>
    <xf numFmtId="0" fontId="25" fillId="24" borderId="17" xfId="0" applyFont="1" applyFill="1" applyBorder="1">
      <alignment vertical="center"/>
    </xf>
    <xf numFmtId="0" fontId="25" fillId="24" borderId="62" xfId="0" applyFont="1" applyFill="1" applyBorder="1" applyAlignment="1">
      <alignment horizontal="center" vertical="center"/>
    </xf>
    <xf numFmtId="0" fontId="25" fillId="24" borderId="18" xfId="0" applyFont="1" applyFill="1" applyBorder="1">
      <alignment vertical="center"/>
    </xf>
    <xf numFmtId="0" fontId="25" fillId="25" borderId="62" xfId="0" applyFont="1" applyFill="1" applyBorder="1" applyAlignment="1">
      <alignment vertical="center"/>
    </xf>
    <xf numFmtId="176" fontId="33" fillId="25" borderId="0" xfId="33" applyNumberFormat="1" applyFont="1" applyFill="1" applyBorder="1">
      <alignment vertical="center"/>
    </xf>
    <xf numFmtId="0" fontId="25" fillId="25" borderId="0" xfId="0" applyFont="1" applyFill="1" applyBorder="1" applyAlignment="1">
      <alignment horizontal="right" vertical="center"/>
    </xf>
    <xf numFmtId="176" fontId="33" fillId="25" borderId="0" xfId="0" applyNumberFormat="1" applyFont="1" applyFill="1" applyBorder="1">
      <alignment vertical="center"/>
    </xf>
    <xf numFmtId="0" fontId="25" fillId="25" borderId="0" xfId="0" applyFont="1" applyFill="1" applyBorder="1" applyAlignment="1">
      <alignment horizontal="center" vertical="center"/>
    </xf>
    <xf numFmtId="10" fontId="25" fillId="25" borderId="20" xfId="0" applyNumberFormat="1" applyFont="1" applyFill="1" applyBorder="1" applyAlignment="1">
      <alignment vertical="center"/>
    </xf>
    <xf numFmtId="0" fontId="25" fillId="25" borderId="20" xfId="0" applyFont="1" applyFill="1" applyBorder="1" applyAlignment="1">
      <alignment horizontal="center" vertical="center"/>
    </xf>
    <xf numFmtId="0" fontId="25" fillId="25" borderId="20" xfId="0" applyFont="1" applyFill="1" applyBorder="1">
      <alignment vertical="center"/>
    </xf>
    <xf numFmtId="0" fontId="25" fillId="24" borderId="63" xfId="0" applyFont="1" applyFill="1" applyBorder="1" applyAlignment="1">
      <alignment vertical="center"/>
    </xf>
    <xf numFmtId="176" fontId="33" fillId="24" borderId="38" xfId="33" applyNumberFormat="1" applyFont="1" applyFill="1" applyBorder="1">
      <alignment vertical="center"/>
    </xf>
    <xf numFmtId="0" fontId="25" fillId="24" borderId="26" xfId="0" applyFont="1" applyFill="1" applyBorder="1" applyAlignment="1">
      <alignment horizontal="right" vertical="center"/>
    </xf>
    <xf numFmtId="176" fontId="33" fillId="24" borderId="40" xfId="0" applyNumberFormat="1" applyFont="1" applyFill="1" applyBorder="1" applyAlignment="1">
      <alignment vertical="center" shrinkToFit="1"/>
    </xf>
    <xf numFmtId="0" fontId="25" fillId="24" borderId="26" xfId="0" applyFont="1" applyFill="1" applyBorder="1" applyAlignment="1">
      <alignment horizontal="center" vertical="center"/>
    </xf>
    <xf numFmtId="176" fontId="33" fillId="24" borderId="40" xfId="0" applyNumberFormat="1" applyFont="1" applyFill="1" applyBorder="1">
      <alignment vertical="center"/>
    </xf>
    <xf numFmtId="0" fontId="25" fillId="24" borderId="33" xfId="0" applyFont="1" applyFill="1" applyBorder="1" applyAlignment="1">
      <alignment vertical="center"/>
    </xf>
    <xf numFmtId="0" fontId="25" fillId="24" borderId="28" xfId="0" applyFont="1" applyFill="1" applyBorder="1">
      <alignment vertical="center"/>
    </xf>
    <xf numFmtId="0" fontId="25" fillId="25" borderId="63" xfId="0" applyFont="1" applyFill="1" applyBorder="1" applyAlignment="1">
      <alignment vertical="center"/>
    </xf>
    <xf numFmtId="176" fontId="33" fillId="25" borderId="26" xfId="33" applyNumberFormat="1" applyFont="1" applyFill="1" applyBorder="1">
      <alignment vertical="center"/>
    </xf>
    <xf numFmtId="0" fontId="25" fillId="25" borderId="26" xfId="0" applyFont="1" applyFill="1" applyBorder="1" applyAlignment="1">
      <alignment horizontal="right" vertical="center"/>
    </xf>
    <xf numFmtId="176" fontId="33" fillId="25" borderId="26" xfId="0" applyNumberFormat="1" applyFont="1" applyFill="1" applyBorder="1">
      <alignment vertical="center"/>
    </xf>
    <xf numFmtId="0" fontId="25" fillId="25" borderId="26" xfId="0" applyFont="1" applyFill="1" applyBorder="1" applyAlignment="1">
      <alignment horizontal="center" vertical="center"/>
    </xf>
    <xf numFmtId="0" fontId="25" fillId="25" borderId="27" xfId="0" applyFont="1" applyFill="1" applyBorder="1" applyAlignment="1">
      <alignment horizontal="center" vertical="center"/>
    </xf>
    <xf numFmtId="0" fontId="25" fillId="25" borderId="31" xfId="0" applyFont="1" applyFill="1" applyBorder="1" applyAlignment="1">
      <alignment vertical="center"/>
    </xf>
    <xf numFmtId="0" fontId="25" fillId="25" borderId="28" xfId="0" applyFont="1" applyFill="1" applyBorder="1" applyAlignment="1">
      <alignment vertical="center"/>
    </xf>
    <xf numFmtId="0" fontId="35" fillId="24" borderId="0" xfId="0" applyFont="1" applyFill="1" applyBorder="1" applyAlignment="1">
      <alignment vertical="center"/>
    </xf>
    <xf numFmtId="0" fontId="25" fillId="24" borderId="62" xfId="0" applyFont="1" applyFill="1" applyBorder="1" applyAlignment="1">
      <alignment vertical="center"/>
    </xf>
    <xf numFmtId="176" fontId="33" fillId="24" borderId="39" xfId="33" applyNumberFormat="1" applyFont="1" applyFill="1" applyBorder="1">
      <alignment vertical="center"/>
    </xf>
    <xf numFmtId="0" fontId="25" fillId="24" borderId="0" xfId="0" applyFont="1" applyFill="1" applyBorder="1" applyAlignment="1">
      <alignment horizontal="right" vertical="center"/>
    </xf>
    <xf numFmtId="176" fontId="33" fillId="24" borderId="12" xfId="0" applyNumberFormat="1" applyFont="1" applyFill="1" applyBorder="1">
      <alignment vertical="center"/>
    </xf>
    <xf numFmtId="0" fontId="25" fillId="24" borderId="32" xfId="0" applyFont="1" applyFill="1" applyBorder="1" applyAlignment="1">
      <alignment vertical="center"/>
    </xf>
    <xf numFmtId="0" fontId="25" fillId="24" borderId="28" xfId="0" applyFont="1" applyFill="1" applyBorder="1" applyAlignment="1">
      <alignment vertical="center"/>
    </xf>
    <xf numFmtId="0" fontId="25" fillId="25" borderId="20" xfId="0" applyFont="1" applyFill="1" applyBorder="1" applyAlignment="1">
      <alignment vertical="center"/>
    </xf>
    <xf numFmtId="0" fontId="25" fillId="25" borderId="28" xfId="0" applyFont="1" applyFill="1" applyBorder="1">
      <alignment vertical="center"/>
    </xf>
    <xf numFmtId="0" fontId="25" fillId="24" borderId="84" xfId="0" applyFont="1" applyFill="1" applyBorder="1" applyAlignment="1">
      <alignment vertical="center"/>
    </xf>
    <xf numFmtId="176" fontId="33" fillId="24" borderId="33" xfId="33" applyNumberFormat="1" applyFont="1" applyFill="1" applyBorder="1">
      <alignment vertical="center"/>
    </xf>
    <xf numFmtId="0" fontId="25" fillId="24" borderId="33" xfId="0" applyFont="1" applyFill="1" applyBorder="1" applyAlignment="1">
      <alignment horizontal="right" vertical="center"/>
    </xf>
    <xf numFmtId="176" fontId="33" fillId="24" borderId="33" xfId="0" applyNumberFormat="1" applyFont="1" applyFill="1" applyBorder="1">
      <alignment vertical="center"/>
    </xf>
    <xf numFmtId="0" fontId="25" fillId="24" borderId="33" xfId="0" applyFont="1" applyFill="1" applyBorder="1" applyAlignment="1">
      <alignment horizontal="center" vertical="center"/>
    </xf>
    <xf numFmtId="0" fontId="25" fillId="24" borderId="85" xfId="0" applyFont="1" applyFill="1" applyBorder="1">
      <alignment vertical="center"/>
    </xf>
    <xf numFmtId="0" fontId="36" fillId="24" borderId="0" xfId="0" applyFont="1" applyFill="1" applyBorder="1">
      <alignment vertical="center"/>
    </xf>
    <xf numFmtId="176" fontId="25" fillId="24" borderId="0" xfId="0" applyNumberFormat="1" applyFont="1" applyFill="1" applyBorder="1">
      <alignment vertical="center"/>
    </xf>
    <xf numFmtId="0" fontId="25" fillId="24" borderId="81" xfId="0" applyFont="1" applyFill="1" applyBorder="1" applyAlignment="1">
      <alignment horizontal="center" vertical="center"/>
    </xf>
    <xf numFmtId="0" fontId="36" fillId="24" borderId="76" xfId="0" applyFont="1" applyFill="1" applyBorder="1">
      <alignment vertical="center"/>
    </xf>
    <xf numFmtId="0" fontId="25" fillId="24" borderId="76" xfId="0" applyFont="1" applyFill="1" applyBorder="1" applyAlignment="1">
      <alignment horizontal="center" vertical="center"/>
    </xf>
    <xf numFmtId="0" fontId="25" fillId="24" borderId="76" xfId="0" applyFont="1" applyFill="1" applyBorder="1">
      <alignment vertical="center"/>
    </xf>
    <xf numFmtId="176" fontId="25" fillId="24" borderId="76" xfId="0" applyNumberFormat="1" applyFont="1" applyFill="1" applyBorder="1">
      <alignment vertical="center"/>
    </xf>
    <xf numFmtId="0" fontId="25" fillId="24" borderId="82" xfId="0" applyFont="1" applyFill="1" applyBorder="1">
      <alignment vertical="center"/>
    </xf>
    <xf numFmtId="0" fontId="25" fillId="24" borderId="80" xfId="0" applyFont="1" applyFill="1" applyBorder="1" applyAlignment="1">
      <alignment horizontal="center" vertical="center"/>
    </xf>
    <xf numFmtId="0" fontId="25" fillId="24" borderId="20" xfId="0" applyFont="1" applyFill="1" applyBorder="1">
      <alignment vertical="center"/>
    </xf>
    <xf numFmtId="0" fontId="25" fillId="24" borderId="20" xfId="0" applyFont="1" applyFill="1" applyBorder="1" applyAlignment="1">
      <alignment horizontal="center" vertical="center"/>
    </xf>
    <xf numFmtId="0" fontId="28" fillId="24" borderId="20" xfId="0" applyFont="1" applyFill="1" applyBorder="1" applyAlignment="1">
      <alignment vertical="center"/>
    </xf>
    <xf numFmtId="176" fontId="33" fillId="24" borderId="20" xfId="0" applyNumberFormat="1" applyFont="1" applyFill="1" applyBorder="1">
      <alignment vertical="center"/>
    </xf>
    <xf numFmtId="177" fontId="33" fillId="24" borderId="20" xfId="0" applyNumberFormat="1" applyFont="1" applyFill="1" applyBorder="1" applyAlignment="1">
      <alignment vertical="center"/>
    </xf>
    <xf numFmtId="176" fontId="34" fillId="24" borderId="0" xfId="0" applyNumberFormat="1" applyFont="1" applyFill="1" applyBorder="1" applyAlignment="1">
      <alignment horizontal="right" vertical="center"/>
    </xf>
    <xf numFmtId="0" fontId="25" fillId="24" borderId="18" xfId="0" applyFont="1" applyFill="1" applyBorder="1" applyAlignment="1">
      <alignment vertical="center"/>
    </xf>
    <xf numFmtId="0" fontId="25" fillId="25" borderId="62" xfId="0" applyFont="1" applyFill="1" applyBorder="1" applyAlignment="1">
      <alignment horizontal="center" vertical="center"/>
    </xf>
    <xf numFmtId="0" fontId="25" fillId="25" borderId="0" xfId="0" applyFont="1" applyFill="1" applyBorder="1" applyAlignment="1">
      <alignment horizontal="left" vertical="center"/>
    </xf>
    <xf numFmtId="0" fontId="28" fillId="25" borderId="0" xfId="0" applyFont="1" applyFill="1" applyBorder="1" applyAlignment="1">
      <alignment horizontal="right" vertical="center"/>
    </xf>
    <xf numFmtId="0" fontId="31" fillId="25" borderId="0" xfId="0" applyFont="1" applyFill="1" applyBorder="1" applyAlignment="1">
      <alignment horizontal="left" vertical="center"/>
    </xf>
    <xf numFmtId="176" fontId="33" fillId="25" borderId="0" xfId="0" applyNumberFormat="1" applyFont="1" applyFill="1" applyBorder="1" applyAlignment="1">
      <alignment horizontal="right" vertical="center"/>
    </xf>
    <xf numFmtId="177" fontId="33" fillId="25" borderId="0" xfId="0" applyNumberFormat="1" applyFont="1" applyFill="1" applyBorder="1" applyAlignment="1">
      <alignment vertical="center"/>
    </xf>
    <xf numFmtId="0" fontId="35" fillId="24" borderId="0" xfId="0" applyFont="1" applyFill="1" applyBorder="1" applyAlignment="1">
      <alignment horizontal="right" vertical="center"/>
    </xf>
    <xf numFmtId="0" fontId="25" fillId="25" borderId="86" xfId="0" applyFont="1" applyFill="1" applyBorder="1" applyAlignment="1">
      <alignment horizontal="center" vertical="center"/>
    </xf>
    <xf numFmtId="0" fontId="25" fillId="25" borderId="69" xfId="0" applyFont="1" applyFill="1" applyBorder="1" applyAlignment="1">
      <alignment horizontal="left" vertical="center"/>
    </xf>
    <xf numFmtId="0" fontId="28" fillId="25" borderId="69" xfId="0" applyFont="1" applyFill="1" applyBorder="1" applyAlignment="1">
      <alignment horizontal="right" vertical="center"/>
    </xf>
    <xf numFmtId="0" fontId="28" fillId="25" borderId="69" xfId="0" applyFont="1" applyFill="1" applyBorder="1" applyAlignment="1">
      <alignment horizontal="left" vertical="center"/>
    </xf>
    <xf numFmtId="0" fontId="25" fillId="25" borderId="69" xfId="0" applyFont="1" applyFill="1" applyBorder="1" applyAlignment="1">
      <alignment horizontal="center" vertical="center"/>
    </xf>
    <xf numFmtId="176" fontId="33" fillId="25" borderId="69" xfId="0" applyNumberFormat="1" applyFont="1" applyFill="1" applyBorder="1" applyAlignment="1">
      <alignment horizontal="right" vertical="center"/>
    </xf>
    <xf numFmtId="177" fontId="25" fillId="25" borderId="69" xfId="0" applyNumberFormat="1" applyFont="1" applyFill="1" applyBorder="1" applyAlignment="1">
      <alignment horizontal="center" vertical="center"/>
    </xf>
    <xf numFmtId="177" fontId="33" fillId="25" borderId="69" xfId="0" applyNumberFormat="1" applyFont="1" applyFill="1" applyBorder="1" applyAlignment="1">
      <alignment vertical="center"/>
    </xf>
    <xf numFmtId="0" fontId="25" fillId="0" borderId="0" xfId="0" applyFont="1" applyBorder="1" applyAlignment="1">
      <alignment horizontal="right" vertical="center"/>
    </xf>
    <xf numFmtId="0" fontId="25" fillId="0" borderId="0" xfId="0" applyFont="1" applyBorder="1" applyAlignment="1">
      <alignment vertical="center"/>
    </xf>
    <xf numFmtId="0" fontId="25" fillId="24" borderId="55" xfId="0" applyFont="1" applyFill="1" applyBorder="1" applyAlignment="1">
      <alignment horizontal="center" vertical="center"/>
    </xf>
    <xf numFmtId="0" fontId="36" fillId="24" borderId="15" xfId="0" applyFont="1" applyFill="1" applyBorder="1">
      <alignment vertical="center"/>
    </xf>
    <xf numFmtId="0" fontId="25" fillId="24" borderId="15" xfId="0" applyFont="1" applyFill="1" applyBorder="1" applyAlignment="1">
      <alignment horizontal="center" vertical="center"/>
    </xf>
    <xf numFmtId="0" fontId="25" fillId="24" borderId="15" xfId="0" applyFont="1" applyFill="1" applyBorder="1">
      <alignment vertical="center"/>
    </xf>
    <xf numFmtId="176" fontId="25" fillId="24" borderId="15" xfId="0" applyNumberFormat="1" applyFont="1" applyFill="1" applyBorder="1">
      <alignment vertical="center"/>
    </xf>
    <xf numFmtId="0" fontId="25" fillId="24" borderId="19" xfId="0" applyFont="1" applyFill="1" applyBorder="1">
      <alignment vertical="center"/>
    </xf>
    <xf numFmtId="0" fontId="28" fillId="24" borderId="87" xfId="0" applyFont="1" applyFill="1" applyBorder="1" applyAlignment="1">
      <alignment vertical="center"/>
    </xf>
    <xf numFmtId="0" fontId="25" fillId="24" borderId="87" xfId="0" applyFont="1" applyFill="1" applyBorder="1" applyAlignment="1">
      <alignment horizontal="center" vertical="center"/>
    </xf>
    <xf numFmtId="176" fontId="33" fillId="24" borderId="87" xfId="0" applyNumberFormat="1" applyFont="1" applyFill="1" applyBorder="1">
      <alignment vertical="center"/>
    </xf>
    <xf numFmtId="0" fontId="25" fillId="24" borderId="87" xfId="0" applyFont="1" applyFill="1" applyBorder="1">
      <alignment vertical="center"/>
    </xf>
    <xf numFmtId="0" fontId="33" fillId="24" borderId="87" xfId="0" applyFont="1" applyFill="1" applyBorder="1" applyAlignment="1">
      <alignment horizontal="center" vertical="center"/>
    </xf>
    <xf numFmtId="0" fontId="25" fillId="25" borderId="0" xfId="0" applyFont="1" applyFill="1" applyBorder="1">
      <alignment vertical="center"/>
    </xf>
    <xf numFmtId="0" fontId="33" fillId="25" borderId="0" xfId="0" applyFont="1" applyFill="1" applyBorder="1" applyAlignment="1">
      <alignment horizontal="center" vertical="center"/>
    </xf>
    <xf numFmtId="0" fontId="25" fillId="24" borderId="64" xfId="0" applyFont="1" applyFill="1" applyBorder="1" applyAlignment="1">
      <alignment horizontal="center" vertical="center"/>
    </xf>
    <xf numFmtId="0" fontId="36" fillId="24" borderId="77" xfId="0" applyFont="1" applyFill="1" applyBorder="1">
      <alignment vertical="center"/>
    </xf>
    <xf numFmtId="0" fontId="25" fillId="24" borderId="77" xfId="0" applyFont="1" applyFill="1" applyBorder="1" applyAlignment="1">
      <alignment horizontal="center" vertical="center"/>
    </xf>
    <xf numFmtId="0" fontId="25" fillId="24" borderId="77" xfId="0" applyFont="1" applyFill="1" applyBorder="1">
      <alignment vertical="center"/>
    </xf>
    <xf numFmtId="176" fontId="25" fillId="24" borderId="77" xfId="0" applyNumberFormat="1" applyFont="1" applyFill="1" applyBorder="1">
      <alignment vertical="center"/>
    </xf>
    <xf numFmtId="0" fontId="25" fillId="24" borderId="89" xfId="0" applyFont="1" applyFill="1" applyBorder="1">
      <alignment vertical="center"/>
    </xf>
    <xf numFmtId="0" fontId="25" fillId="24" borderId="54" xfId="0" applyFont="1" applyFill="1" applyBorder="1" applyAlignment="1">
      <alignment vertical="center"/>
    </xf>
    <xf numFmtId="0" fontId="25" fillId="24" borderId="54" xfId="0" applyFont="1" applyFill="1" applyBorder="1">
      <alignment vertical="center"/>
    </xf>
    <xf numFmtId="0" fontId="25" fillId="24" borderId="54" xfId="0" applyFont="1" applyFill="1" applyBorder="1" applyAlignment="1">
      <alignment horizontal="center" vertical="center"/>
    </xf>
    <xf numFmtId="0" fontId="38" fillId="24" borderId="54" xfId="0" applyFont="1" applyFill="1" applyBorder="1">
      <alignment vertical="center"/>
    </xf>
    <xf numFmtId="0" fontId="35" fillId="24" borderId="54" xfId="0" applyFont="1" applyFill="1" applyBorder="1" applyAlignment="1">
      <alignment vertical="center"/>
    </xf>
    <xf numFmtId="0" fontId="35" fillId="24" borderId="54" xfId="0" applyFont="1" applyFill="1" applyBorder="1" applyAlignment="1">
      <alignment horizontal="right" vertical="center"/>
    </xf>
    <xf numFmtId="0" fontId="25" fillId="24" borderId="56" xfId="0" applyFont="1" applyFill="1" applyBorder="1" applyAlignment="1">
      <alignment horizontal="right" vertical="center"/>
    </xf>
    <xf numFmtId="176" fontId="33" fillId="24" borderId="40" xfId="33" applyNumberFormat="1" applyFont="1" applyFill="1" applyBorder="1">
      <alignment vertical="center"/>
    </xf>
    <xf numFmtId="0" fontId="25" fillId="25" borderId="29" xfId="0" applyFont="1" applyFill="1" applyBorder="1" applyAlignment="1">
      <alignment horizontal="center" vertical="center"/>
    </xf>
    <xf numFmtId="0" fontId="25" fillId="25" borderId="30" xfId="0" applyFont="1" applyFill="1" applyBorder="1" applyAlignment="1">
      <alignment horizontal="center" vertical="center"/>
    </xf>
    <xf numFmtId="0" fontId="25" fillId="24" borderId="27" xfId="0" applyFont="1" applyFill="1" applyBorder="1" applyAlignment="1">
      <alignment horizontal="center" vertical="center"/>
    </xf>
    <xf numFmtId="0" fontId="25" fillId="24" borderId="28" xfId="0" applyFont="1" applyFill="1" applyBorder="1" applyAlignment="1">
      <alignment horizontal="center" vertical="center"/>
    </xf>
    <xf numFmtId="176" fontId="33" fillId="24" borderId="90" xfId="33" applyNumberFormat="1" applyFont="1" applyFill="1" applyBorder="1">
      <alignment vertical="center"/>
    </xf>
    <xf numFmtId="176" fontId="33" fillId="24" borderId="90" xfId="0" applyNumberFormat="1" applyFont="1" applyFill="1" applyBorder="1">
      <alignment vertical="center"/>
    </xf>
    <xf numFmtId="0" fontId="25" fillId="24" borderId="92" xfId="0" applyFont="1" applyFill="1" applyBorder="1" applyAlignment="1">
      <alignment horizontal="center" vertical="center"/>
    </xf>
    <xf numFmtId="0" fontId="36" fillId="24" borderId="93" xfId="0" applyFont="1" applyFill="1" applyBorder="1">
      <alignment vertical="center"/>
    </xf>
    <xf numFmtId="0" fontId="25" fillId="24" borderId="93" xfId="0" applyFont="1" applyFill="1" applyBorder="1" applyAlignment="1">
      <alignment horizontal="center" vertical="center"/>
    </xf>
    <xf numFmtId="0" fontId="25" fillId="24" borderId="93" xfId="0" applyFont="1" applyFill="1" applyBorder="1">
      <alignment vertical="center"/>
    </xf>
    <xf numFmtId="176" fontId="25" fillId="24" borderId="93" xfId="0" applyNumberFormat="1" applyFont="1" applyFill="1" applyBorder="1">
      <alignment vertical="center"/>
    </xf>
    <xf numFmtId="0" fontId="25" fillId="24" borderId="94" xfId="0" applyFont="1" applyFill="1" applyBorder="1">
      <alignment vertical="center"/>
    </xf>
    <xf numFmtId="0" fontId="25" fillId="24" borderId="91" xfId="0" applyFont="1" applyFill="1" applyBorder="1" applyAlignment="1">
      <alignment horizontal="center" vertical="center"/>
    </xf>
    <xf numFmtId="0" fontId="25" fillId="0" borderId="87" xfId="0" applyFont="1" applyBorder="1">
      <alignment vertical="center"/>
    </xf>
    <xf numFmtId="177" fontId="33" fillId="24" borderId="87" xfId="0" applyNumberFormat="1" applyFont="1" applyFill="1" applyBorder="1" applyAlignment="1">
      <alignment vertical="center"/>
    </xf>
    <xf numFmtId="0" fontId="25" fillId="24" borderId="56" xfId="0" applyFont="1" applyFill="1" applyBorder="1">
      <alignment vertical="center"/>
    </xf>
    <xf numFmtId="0" fontId="25" fillId="24" borderId="0" xfId="0" applyFont="1" applyFill="1" applyBorder="1" applyAlignment="1">
      <alignment horizontal="left" vertical="center"/>
    </xf>
    <xf numFmtId="0" fontId="36" fillId="24" borderId="62" xfId="0" applyFont="1" applyFill="1" applyBorder="1" applyAlignment="1">
      <alignment horizontal="center" vertical="center"/>
    </xf>
    <xf numFmtId="176" fontId="33" fillId="25" borderId="41" xfId="33" applyNumberFormat="1" applyFont="1" applyFill="1" applyBorder="1">
      <alignment vertical="center"/>
    </xf>
    <xf numFmtId="176" fontId="33" fillId="25" borderId="41" xfId="0" applyNumberFormat="1" applyFont="1" applyFill="1" applyBorder="1">
      <alignment vertical="center"/>
    </xf>
    <xf numFmtId="0" fontId="25" fillId="25" borderId="37" xfId="0" applyFont="1" applyFill="1" applyBorder="1" applyAlignment="1">
      <alignment horizontal="center" vertical="center"/>
    </xf>
    <xf numFmtId="0" fontId="25" fillId="25" borderId="36" xfId="0" applyFont="1" applyFill="1" applyBorder="1">
      <alignment vertical="center"/>
    </xf>
    <xf numFmtId="176" fontId="33" fillId="24" borderId="26" xfId="33" applyNumberFormat="1" applyFont="1" applyFill="1" applyBorder="1">
      <alignment vertical="center"/>
    </xf>
    <xf numFmtId="176" fontId="33" fillId="24" borderId="26" xfId="0" applyNumberFormat="1" applyFont="1" applyFill="1" applyBorder="1">
      <alignment vertical="center"/>
    </xf>
    <xf numFmtId="0" fontId="25" fillId="24" borderId="34" xfId="0" applyFont="1" applyFill="1" applyBorder="1" applyAlignment="1">
      <alignment vertical="center"/>
    </xf>
    <xf numFmtId="0" fontId="25" fillId="25" borderId="32" xfId="0" applyFont="1" applyFill="1" applyBorder="1" applyAlignment="1">
      <alignment horizontal="center" vertical="center"/>
    </xf>
    <xf numFmtId="0" fontId="25" fillId="24" borderId="32" xfId="0" applyFont="1" applyFill="1" applyBorder="1" applyAlignment="1">
      <alignment horizontal="center" vertical="center"/>
    </xf>
    <xf numFmtId="0" fontId="25" fillId="25" borderId="35" xfId="0" applyFont="1" applyFill="1" applyBorder="1" applyAlignment="1">
      <alignment vertical="center"/>
    </xf>
    <xf numFmtId="0" fontId="25" fillId="24" borderId="95" xfId="0" applyFont="1" applyFill="1" applyBorder="1" applyAlignment="1">
      <alignment horizontal="center" vertical="center"/>
    </xf>
    <xf numFmtId="0" fontId="25" fillId="0" borderId="0" xfId="0" applyFont="1" applyBorder="1">
      <alignment vertical="center"/>
    </xf>
    <xf numFmtId="0" fontId="28" fillId="24" borderId="0" xfId="0" applyFont="1" applyFill="1" applyBorder="1" applyAlignment="1">
      <alignment vertical="center"/>
    </xf>
    <xf numFmtId="176" fontId="33" fillId="24" borderId="0" xfId="0" applyNumberFormat="1" applyFont="1" applyFill="1" applyBorder="1">
      <alignment vertical="center"/>
    </xf>
    <xf numFmtId="177" fontId="33" fillId="24" borderId="0" xfId="0" applyNumberFormat="1" applyFont="1" applyFill="1" applyBorder="1" applyAlignment="1">
      <alignment vertical="center"/>
    </xf>
    <xf numFmtId="0" fontId="31" fillId="25" borderId="69" xfId="0" applyFont="1" applyFill="1" applyBorder="1" applyAlignment="1">
      <alignment vertical="center"/>
    </xf>
    <xf numFmtId="176" fontId="33" fillId="25" borderId="69" xfId="0" applyNumberFormat="1" applyFont="1" applyFill="1" applyBorder="1">
      <alignment vertical="center"/>
    </xf>
    <xf numFmtId="0" fontId="33" fillId="24" borderId="0" xfId="0" applyFont="1" applyFill="1" applyBorder="1" applyAlignment="1">
      <alignment horizontal="center" vertical="center"/>
    </xf>
    <xf numFmtId="0" fontId="25" fillId="25" borderId="69" xfId="0" applyFont="1" applyFill="1" applyBorder="1">
      <alignment vertical="center"/>
    </xf>
    <xf numFmtId="0" fontId="33" fillId="25" borderId="69" xfId="0" applyFont="1" applyFill="1" applyBorder="1" applyAlignment="1">
      <alignment horizontal="center" vertical="center"/>
    </xf>
    <xf numFmtId="0" fontId="25" fillId="24" borderId="57" xfId="0" applyFont="1" applyFill="1" applyBorder="1" applyAlignment="1">
      <alignment vertical="center"/>
    </xf>
    <xf numFmtId="0" fontId="25" fillId="24" borderId="14" xfId="0" applyFont="1" applyFill="1" applyBorder="1">
      <alignment vertical="center"/>
    </xf>
    <xf numFmtId="0" fontId="25" fillId="24" borderId="14" xfId="0" applyFont="1" applyFill="1" applyBorder="1" applyAlignment="1">
      <alignment horizontal="center" vertical="center"/>
    </xf>
    <xf numFmtId="0" fontId="29" fillId="24" borderId="14" xfId="0" applyFont="1" applyFill="1" applyBorder="1" applyAlignment="1">
      <alignment horizontal="center" vertical="center"/>
    </xf>
    <xf numFmtId="0" fontId="31" fillId="24" borderId="14" xfId="0" applyFont="1" applyFill="1" applyBorder="1" applyAlignment="1">
      <alignment horizontal="right" vertical="center"/>
    </xf>
    <xf numFmtId="0" fontId="29" fillId="24" borderId="14" xfId="0" applyFont="1" applyFill="1" applyBorder="1">
      <alignment vertical="center"/>
    </xf>
    <xf numFmtId="0" fontId="29" fillId="24" borderId="0" xfId="0" applyFont="1" applyFill="1" applyBorder="1" applyAlignment="1">
      <alignment horizontal="center" vertical="center"/>
    </xf>
    <xf numFmtId="0" fontId="31" fillId="24" borderId="0" xfId="0" applyFont="1" applyFill="1" applyBorder="1" applyAlignment="1">
      <alignment horizontal="right" vertical="center"/>
    </xf>
    <xf numFmtId="176" fontId="39" fillId="24" borderId="0" xfId="0" applyNumberFormat="1" applyFont="1" applyFill="1" applyBorder="1" applyAlignment="1">
      <alignment horizontal="center" vertical="center"/>
    </xf>
    <xf numFmtId="0" fontId="39" fillId="24" borderId="0" xfId="0" applyFont="1" applyFill="1" applyBorder="1" applyAlignment="1">
      <alignment horizontal="center" vertical="center"/>
    </xf>
    <xf numFmtId="176" fontId="40" fillId="24" borderId="0" xfId="0" applyNumberFormat="1" applyFont="1" applyFill="1" applyBorder="1" applyAlignment="1">
      <alignment horizontal="right" vertical="center"/>
    </xf>
    <xf numFmtId="0" fontId="0" fillId="0" borderId="0" xfId="0" applyAlignment="1">
      <alignment vertical="center"/>
    </xf>
    <xf numFmtId="0" fontId="34" fillId="24" borderId="0" xfId="0" applyFont="1" applyFill="1" applyBorder="1">
      <alignment vertical="center"/>
    </xf>
    <xf numFmtId="0" fontId="31" fillId="28" borderId="81" xfId="0" applyFont="1" applyFill="1" applyBorder="1" applyAlignment="1">
      <alignment horizontal="center" vertical="center"/>
    </xf>
    <xf numFmtId="0" fontId="25" fillId="28" borderId="68" xfId="0" applyFont="1" applyFill="1" applyBorder="1" applyAlignment="1">
      <alignment horizontal="center" vertical="center"/>
    </xf>
    <xf numFmtId="0" fontId="31" fillId="28" borderId="62" xfId="0" applyFont="1" applyFill="1" applyBorder="1" applyAlignment="1">
      <alignment horizontal="center" vertical="center"/>
    </xf>
    <xf numFmtId="0" fontId="25" fillId="28" borderId="64" xfId="0" applyFont="1" applyFill="1" applyBorder="1" applyAlignment="1">
      <alignment horizontal="center" vertical="center"/>
    </xf>
    <xf numFmtId="0" fontId="31" fillId="28" borderId="57" xfId="0" applyFont="1" applyFill="1" applyBorder="1" applyAlignment="1">
      <alignment horizontal="center" vertical="center"/>
    </xf>
    <xf numFmtId="0" fontId="35" fillId="28" borderId="54" xfId="0" applyFont="1" applyFill="1" applyBorder="1" applyAlignment="1">
      <alignment vertical="center"/>
    </xf>
    <xf numFmtId="0" fontId="35" fillId="28" borderId="56" xfId="0" applyFont="1" applyFill="1" applyBorder="1" applyAlignment="1">
      <alignment horizontal="left" vertical="center"/>
    </xf>
    <xf numFmtId="0" fontId="31" fillId="29" borderId="92" xfId="0" applyFont="1" applyFill="1" applyBorder="1" applyAlignment="1">
      <alignment horizontal="center" vertical="center"/>
    </xf>
    <xf numFmtId="0" fontId="25" fillId="29" borderId="55" xfId="0" applyFont="1" applyFill="1" applyBorder="1" applyAlignment="1">
      <alignment horizontal="center" vertical="center"/>
    </xf>
    <xf numFmtId="0" fontId="25" fillId="29" borderId="64" xfId="0" applyFont="1" applyFill="1" applyBorder="1" applyAlignment="1">
      <alignment horizontal="center" vertical="center"/>
    </xf>
    <xf numFmtId="0" fontId="31" fillId="29" borderId="57" xfId="0" applyFont="1" applyFill="1" applyBorder="1" applyAlignment="1">
      <alignment horizontal="center" vertical="center"/>
    </xf>
    <xf numFmtId="0" fontId="35" fillId="29" borderId="54" xfId="0" applyFont="1" applyFill="1" applyBorder="1" applyAlignment="1">
      <alignment horizontal="left" vertical="center"/>
    </xf>
    <xf numFmtId="0" fontId="35" fillId="29" borderId="56" xfId="0" applyFont="1" applyFill="1" applyBorder="1" applyAlignment="1">
      <alignment horizontal="left" vertical="center"/>
    </xf>
    <xf numFmtId="0" fontId="31" fillId="30" borderId="92" xfId="0" applyFont="1" applyFill="1" applyBorder="1" applyAlignment="1">
      <alignment horizontal="center" vertical="center"/>
    </xf>
    <xf numFmtId="0" fontId="31" fillId="30" borderId="55" xfId="0" applyFont="1" applyFill="1" applyBorder="1" applyAlignment="1">
      <alignment horizontal="center" vertical="center"/>
    </xf>
    <xf numFmtId="0" fontId="31" fillId="30" borderId="62" xfId="0" applyFont="1" applyFill="1" applyBorder="1" applyAlignment="1">
      <alignment horizontal="center" vertical="center"/>
    </xf>
    <xf numFmtId="0" fontId="29" fillId="30" borderId="57" xfId="0" applyFont="1" applyFill="1" applyBorder="1" applyAlignment="1">
      <alignment horizontal="center" vertical="center"/>
    </xf>
    <xf numFmtId="0" fontId="35" fillId="30" borderId="54" xfId="0" applyFont="1" applyFill="1" applyBorder="1" applyAlignment="1">
      <alignment vertical="center"/>
    </xf>
    <xf numFmtId="0" fontId="25" fillId="30" borderId="56" xfId="0" applyFont="1" applyFill="1" applyBorder="1">
      <alignment vertical="center"/>
    </xf>
    <xf numFmtId="0" fontId="34" fillId="27" borderId="42" xfId="0" applyFont="1" applyFill="1" applyBorder="1" applyAlignment="1">
      <alignment horizontal="left" vertical="center" indent="1"/>
    </xf>
    <xf numFmtId="0" fontId="31" fillId="27" borderId="21" xfId="0" applyFont="1" applyFill="1" applyBorder="1" applyAlignment="1">
      <alignment horizontal="left" vertical="center" indent="1"/>
    </xf>
    <xf numFmtId="0" fontId="31" fillId="27" borderId="22" xfId="0" applyFont="1" applyFill="1" applyBorder="1" applyAlignment="1">
      <alignment horizontal="left" vertical="center" indent="1"/>
    </xf>
    <xf numFmtId="0" fontId="25" fillId="27" borderId="25" xfId="0" applyFont="1" applyFill="1" applyBorder="1" applyAlignment="1">
      <alignment horizontal="left" vertical="center" indent="2"/>
    </xf>
    <xf numFmtId="0" fontId="31" fillId="27" borderId="23" xfId="0" applyFont="1" applyFill="1" applyBorder="1" applyAlignment="1">
      <alignment horizontal="left" vertical="center" indent="1"/>
    </xf>
    <xf numFmtId="0" fontId="31" fillId="27" borderId="24" xfId="0" applyFont="1" applyFill="1" applyBorder="1" applyAlignment="1">
      <alignment horizontal="left" vertical="center" indent="1"/>
    </xf>
    <xf numFmtId="0" fontId="22" fillId="0" borderId="0" xfId="0" applyFont="1" applyFill="1" applyBorder="1">
      <alignment vertical="center"/>
    </xf>
    <xf numFmtId="0" fontId="43" fillId="0" borderId="131" xfId="0" applyFont="1" applyBorder="1" applyAlignment="1">
      <alignment horizontal="right" vertical="center"/>
    </xf>
    <xf numFmtId="0" fontId="25" fillId="0" borderId="132" xfId="0" applyFont="1" applyBorder="1" applyAlignment="1">
      <alignment vertical="center"/>
    </xf>
    <xf numFmtId="0" fontId="35" fillId="24" borderId="0" xfId="0" applyFont="1" applyFill="1" applyBorder="1" applyAlignment="1">
      <alignment vertical="center"/>
    </xf>
    <xf numFmtId="0" fontId="25" fillId="0" borderId="0" xfId="0" applyFont="1" applyProtection="1">
      <alignment vertical="center"/>
    </xf>
    <xf numFmtId="0" fontId="45" fillId="0" borderId="0" xfId="0" applyFont="1" applyAlignment="1" applyProtection="1">
      <alignment vertical="center"/>
    </xf>
    <xf numFmtId="0" fontId="25" fillId="0" borderId="0" xfId="0" applyFont="1" applyAlignment="1" applyProtection="1">
      <alignment horizontal="center" vertical="center"/>
    </xf>
    <xf numFmtId="0" fontId="25" fillId="0" borderId="104" xfId="0" applyFont="1" applyBorder="1" applyAlignment="1" applyProtection="1">
      <alignment vertical="center"/>
    </xf>
    <xf numFmtId="0" fontId="25" fillId="0" borderId="99" xfId="0" applyFont="1" applyBorder="1" applyAlignment="1" applyProtection="1">
      <alignment vertical="center"/>
    </xf>
    <xf numFmtId="0" fontId="25" fillId="0" borderId="109" xfId="0" applyFont="1" applyBorder="1" applyAlignment="1" applyProtection="1">
      <alignment vertical="center"/>
    </xf>
    <xf numFmtId="0" fontId="25" fillId="0" borderId="104" xfId="0" applyFont="1" applyBorder="1" applyAlignment="1" applyProtection="1">
      <alignment horizontal="center" vertical="center"/>
    </xf>
    <xf numFmtId="0" fontId="25" fillId="0" borderId="117" xfId="0" applyFont="1" applyBorder="1" applyAlignment="1" applyProtection="1">
      <alignment horizontal="center" vertical="center"/>
    </xf>
    <xf numFmtId="0" fontId="25" fillId="0" borderId="99" xfId="0" applyFont="1" applyBorder="1" applyAlignment="1" applyProtection="1">
      <alignment horizontal="center" vertical="center"/>
    </xf>
    <xf numFmtId="0" fontId="25" fillId="0" borderId="106" xfId="0" applyFont="1" applyBorder="1" applyAlignment="1" applyProtection="1">
      <alignment horizontal="center" vertical="center"/>
    </xf>
    <xf numFmtId="0" fontId="25" fillId="0" borderId="101" xfId="0" applyFont="1" applyBorder="1" applyAlignment="1" applyProtection="1">
      <alignment horizontal="center" vertical="center"/>
    </xf>
    <xf numFmtId="0" fontId="25" fillId="0" borderId="113" xfId="0" applyFont="1" applyBorder="1" applyAlignment="1" applyProtection="1">
      <alignment horizontal="center" vertical="center"/>
    </xf>
    <xf numFmtId="0" fontId="25" fillId="0" borderId="75" xfId="0" applyFont="1" applyBorder="1" applyAlignment="1" applyProtection="1">
      <alignment horizontal="center" vertical="center"/>
    </xf>
    <xf numFmtId="0" fontId="25" fillId="0" borderId="73" xfId="0" applyFont="1" applyBorder="1" applyAlignment="1" applyProtection="1">
      <alignment horizontal="center" vertical="center"/>
    </xf>
    <xf numFmtId="0" fontId="25" fillId="0" borderId="122" xfId="0" applyFont="1" applyBorder="1" applyAlignment="1" applyProtection="1">
      <alignment horizontal="center" vertical="center"/>
    </xf>
    <xf numFmtId="0" fontId="25" fillId="0" borderId="110" xfId="0" applyFont="1" applyBorder="1" applyAlignment="1" applyProtection="1">
      <alignment horizontal="center" vertical="center"/>
    </xf>
    <xf numFmtId="0" fontId="44" fillId="0" borderId="0" xfId="0" applyFont="1" applyProtection="1">
      <alignment vertical="center"/>
    </xf>
    <xf numFmtId="0" fontId="27" fillId="0" borderId="0" xfId="0" applyFont="1" applyProtection="1">
      <alignment vertical="center"/>
    </xf>
    <xf numFmtId="0" fontId="0" fillId="0" borderId="0" xfId="0" applyProtection="1">
      <alignment vertical="center"/>
    </xf>
    <xf numFmtId="0" fontId="0" fillId="0" borderId="78" xfId="0" applyBorder="1" applyAlignment="1" applyProtection="1">
      <alignment horizontal="center" vertical="center" shrinkToFit="1"/>
    </xf>
    <xf numFmtId="0" fontId="0" fillId="0" borderId="78" xfId="0" applyBorder="1" applyProtection="1">
      <alignment vertical="center"/>
    </xf>
    <xf numFmtId="0" fontId="0" fillId="0" borderId="78" xfId="0" applyBorder="1" applyAlignment="1" applyProtection="1">
      <alignment horizontal="center" vertical="center"/>
    </xf>
    <xf numFmtId="3" fontId="0" fillId="0" borderId="78" xfId="0" applyNumberFormat="1" applyBorder="1" applyAlignment="1" applyProtection="1">
      <alignment vertical="center" shrinkToFit="1"/>
    </xf>
    <xf numFmtId="0" fontId="0" fillId="0" borderId="78" xfId="0" applyBorder="1" applyAlignment="1" applyProtection="1">
      <alignment vertical="center" shrinkToFit="1"/>
    </xf>
    <xf numFmtId="3" fontId="0" fillId="0" borderId="78" xfId="0" applyNumberFormat="1" applyBorder="1" applyAlignment="1" applyProtection="1">
      <alignment horizontal="center" vertical="center" shrinkToFit="1"/>
    </xf>
    <xf numFmtId="0" fontId="0" fillId="0" borderId="134" xfId="0" applyBorder="1" applyAlignment="1" applyProtection="1">
      <alignment horizontal="center" vertical="center" shrinkToFit="1"/>
    </xf>
    <xf numFmtId="3" fontId="0" fillId="0" borderId="134" xfId="0" applyNumberFormat="1" applyBorder="1" applyAlignment="1" applyProtection="1">
      <alignment vertical="center" shrinkToFit="1"/>
    </xf>
    <xf numFmtId="0" fontId="0" fillId="26" borderId="78" xfId="0" applyFill="1" applyBorder="1" applyAlignment="1" applyProtection="1">
      <alignment horizontal="center" vertical="center" shrinkToFit="1"/>
    </xf>
    <xf numFmtId="3" fontId="0" fillId="26" borderId="78" xfId="0" applyNumberFormat="1" applyFill="1" applyBorder="1" applyAlignment="1" applyProtection="1">
      <alignment vertical="center" shrinkToFit="1"/>
    </xf>
    <xf numFmtId="0" fontId="0" fillId="0" borderId="0" xfId="0" applyFill="1" applyBorder="1" applyAlignment="1" applyProtection="1">
      <alignment vertical="center" shrinkToFit="1"/>
    </xf>
    <xf numFmtId="3" fontId="0" fillId="0" borderId="78" xfId="0" applyNumberFormat="1" applyBorder="1" applyProtection="1">
      <alignment vertical="center"/>
    </xf>
    <xf numFmtId="0" fontId="0" fillId="0" borderId="78" xfId="0" applyBorder="1" applyAlignment="1" applyProtection="1">
      <alignment horizontal="right" vertical="center"/>
    </xf>
    <xf numFmtId="0" fontId="0" fillId="0" borderId="112" xfId="0" applyFill="1" applyBorder="1" applyAlignment="1" applyProtection="1">
      <alignment horizontal="center" vertical="center"/>
    </xf>
    <xf numFmtId="0" fontId="0" fillId="0" borderId="101" xfId="0" applyBorder="1" applyProtection="1">
      <alignment vertical="center"/>
    </xf>
    <xf numFmtId="0" fontId="0" fillId="0" borderId="70" xfId="0" applyBorder="1" applyProtection="1">
      <alignment vertical="center"/>
    </xf>
    <xf numFmtId="0" fontId="0" fillId="0" borderId="133" xfId="0" applyBorder="1" applyProtection="1">
      <alignment vertical="center"/>
    </xf>
    <xf numFmtId="0" fontId="0" fillId="0" borderId="66" xfId="0" applyBorder="1" applyProtection="1">
      <alignment vertical="center"/>
    </xf>
    <xf numFmtId="0" fontId="0" fillId="0" borderId="104" xfId="0" applyBorder="1" applyProtection="1">
      <alignment vertical="center"/>
    </xf>
    <xf numFmtId="0" fontId="20" fillId="0" borderId="0" xfId="0" applyFont="1" applyAlignment="1">
      <alignment vertical="center" shrinkToFit="1"/>
    </xf>
    <xf numFmtId="38" fontId="20" fillId="0" borderId="10" xfId="33" applyFont="1" applyBorder="1" applyAlignment="1">
      <alignment vertical="center" shrinkToFit="1"/>
    </xf>
    <xf numFmtId="0" fontId="20" fillId="0" borderId="10" xfId="0" applyFont="1" applyFill="1" applyBorder="1" applyAlignment="1">
      <alignment vertical="center" shrinkToFit="1"/>
    </xf>
    <xf numFmtId="0" fontId="20" fillId="0" borderId="10" xfId="0" applyFont="1" applyBorder="1" applyAlignment="1">
      <alignment vertical="center" shrinkToFit="1"/>
    </xf>
    <xf numFmtId="0" fontId="0" fillId="0" borderId="78" xfId="0" applyBorder="1" applyProtection="1">
      <alignment vertical="center"/>
      <protection locked="0"/>
    </xf>
    <xf numFmtId="0" fontId="27" fillId="0" borderId="114" xfId="0" applyFont="1" applyBorder="1" applyAlignment="1" applyProtection="1">
      <alignment horizontal="center" vertical="center" wrapText="1"/>
    </xf>
    <xf numFmtId="0" fontId="27" fillId="0" borderId="74" xfId="0" applyFont="1" applyBorder="1" applyAlignment="1" applyProtection="1">
      <alignment horizontal="center" vertical="center"/>
    </xf>
    <xf numFmtId="3" fontId="26" fillId="0" borderId="66" xfId="0" applyNumberFormat="1" applyFont="1" applyBorder="1" applyAlignment="1" applyProtection="1">
      <alignment horizontal="right" vertical="center"/>
    </xf>
    <xf numFmtId="3" fontId="26" fillId="0" borderId="102" xfId="0" applyNumberFormat="1" applyFont="1" applyBorder="1" applyAlignment="1" applyProtection="1">
      <alignment horizontal="right" vertical="center"/>
    </xf>
    <xf numFmtId="3" fontId="26" fillId="0" borderId="78" xfId="0" applyNumberFormat="1" applyFont="1" applyBorder="1" applyAlignment="1" applyProtection="1">
      <alignment horizontal="right" vertical="center"/>
    </xf>
    <xf numFmtId="3" fontId="26" fillId="0" borderId="98" xfId="0" applyNumberFormat="1" applyFont="1" applyBorder="1" applyAlignment="1" applyProtection="1">
      <alignment horizontal="right" vertical="center"/>
    </xf>
    <xf numFmtId="3" fontId="26" fillId="0" borderId="112" xfId="0" applyNumberFormat="1" applyFont="1" applyBorder="1" applyAlignment="1" applyProtection="1">
      <alignment horizontal="right" vertical="center"/>
    </xf>
    <xf numFmtId="3" fontId="26" fillId="0" borderId="100" xfId="0" applyNumberFormat="1" applyFont="1" applyBorder="1" applyAlignment="1" applyProtection="1">
      <alignment horizontal="right" vertical="center"/>
    </xf>
    <xf numFmtId="0" fontId="27" fillId="0" borderId="116" xfId="0" applyFont="1" applyBorder="1" applyAlignment="1" applyProtection="1">
      <alignment horizontal="center" vertical="center"/>
    </xf>
    <xf numFmtId="0" fontId="27" fillId="0" borderId="66" xfId="0" applyFont="1" applyBorder="1" applyAlignment="1" applyProtection="1">
      <alignment horizontal="center" vertical="center"/>
    </xf>
    <xf numFmtId="0" fontId="27" fillId="0" borderId="105" xfId="0" applyFont="1" applyBorder="1" applyAlignment="1" applyProtection="1">
      <alignment horizontal="center" vertical="center"/>
    </xf>
    <xf numFmtId="0" fontId="27" fillId="0" borderId="78" xfId="0" applyFont="1" applyBorder="1" applyAlignment="1" applyProtection="1">
      <alignment horizontal="center" vertical="center"/>
    </xf>
    <xf numFmtId="0" fontId="27" fillId="0" borderId="111" xfId="0" applyFont="1" applyBorder="1" applyAlignment="1" applyProtection="1">
      <alignment horizontal="center" vertical="center"/>
    </xf>
    <xf numFmtId="0" fontId="27" fillId="0" borderId="112" xfId="0" applyFont="1" applyBorder="1" applyAlignment="1" applyProtection="1">
      <alignment horizontal="center" vertical="center"/>
    </xf>
    <xf numFmtId="3" fontId="26" fillId="0" borderId="72" xfId="0" applyNumberFormat="1" applyFont="1" applyBorder="1" applyAlignment="1" applyProtection="1">
      <alignment horizontal="right" vertical="center"/>
    </xf>
    <xf numFmtId="3" fontId="47" fillId="0" borderId="115" xfId="0" applyNumberFormat="1" applyFont="1" applyBorder="1" applyAlignment="1" applyProtection="1">
      <alignment horizontal="left" vertical="center" shrinkToFit="1"/>
    </xf>
    <xf numFmtId="3" fontId="47" fillId="0" borderId="72" xfId="0" applyNumberFormat="1" applyFont="1" applyBorder="1" applyAlignment="1" applyProtection="1">
      <alignment horizontal="left" vertical="center" shrinkToFit="1"/>
    </xf>
    <xf numFmtId="3" fontId="26" fillId="0" borderId="115" xfId="0" applyNumberFormat="1" applyFont="1" applyBorder="1" applyAlignment="1" applyProtection="1">
      <alignment horizontal="left" vertical="center" shrinkToFit="1"/>
    </xf>
    <xf numFmtId="3" fontId="26" fillId="0" borderId="72" xfId="0" applyNumberFormat="1" applyFont="1" applyBorder="1" applyAlignment="1" applyProtection="1">
      <alignment horizontal="left" vertical="center" shrinkToFit="1"/>
    </xf>
    <xf numFmtId="0" fontId="27" fillId="0" borderId="66" xfId="0" applyFont="1" applyBorder="1" applyAlignment="1" applyProtection="1">
      <alignment horizontal="center" vertical="center" shrinkToFit="1"/>
      <protection locked="0"/>
    </xf>
    <xf numFmtId="0" fontId="27" fillId="0" borderId="78" xfId="0" applyFont="1" applyBorder="1" applyAlignment="1" applyProtection="1">
      <alignment horizontal="center" vertical="center" shrinkToFit="1"/>
      <protection locked="0"/>
    </xf>
    <xf numFmtId="0" fontId="27" fillId="0" borderId="114" xfId="0" applyFont="1" applyBorder="1" applyAlignment="1" applyProtection="1">
      <alignment horizontal="center" vertical="center"/>
    </xf>
    <xf numFmtId="3" fontId="28" fillId="0" borderId="98" xfId="0" applyNumberFormat="1" applyFont="1" applyBorder="1" applyAlignment="1" applyProtection="1">
      <alignment horizontal="right" vertical="center"/>
      <protection locked="0"/>
    </xf>
    <xf numFmtId="3" fontId="28" fillId="0" borderId="103" xfId="0" applyNumberFormat="1" applyFont="1" applyBorder="1" applyAlignment="1" applyProtection="1">
      <alignment horizontal="right" vertical="center"/>
      <protection locked="0"/>
    </xf>
    <xf numFmtId="3" fontId="28" fillId="0" borderId="108" xfId="0" applyNumberFormat="1" applyFont="1" applyBorder="1" applyAlignment="1" applyProtection="1">
      <alignment horizontal="right" vertical="center"/>
      <protection locked="0"/>
    </xf>
    <xf numFmtId="3" fontId="28" fillId="0" borderId="128" xfId="0" applyNumberFormat="1" applyFont="1" applyBorder="1" applyAlignment="1" applyProtection="1">
      <alignment horizontal="right" vertical="center"/>
      <protection locked="0"/>
    </xf>
    <xf numFmtId="0" fontId="27" fillId="0" borderId="107" xfId="0" applyFont="1" applyBorder="1" applyAlignment="1" applyProtection="1">
      <alignment horizontal="center" vertical="center" shrinkToFit="1"/>
      <protection locked="0"/>
    </xf>
    <xf numFmtId="0" fontId="27" fillId="27" borderId="74" xfId="0" applyFont="1" applyFill="1" applyBorder="1" applyAlignment="1" applyProtection="1">
      <alignment horizontal="center" vertical="center"/>
    </xf>
    <xf numFmtId="0" fontId="27" fillId="27" borderId="118" xfId="0" applyFont="1" applyFill="1" applyBorder="1" applyAlignment="1" applyProtection="1">
      <alignment horizontal="center" vertical="center"/>
    </xf>
    <xf numFmtId="0" fontId="27" fillId="27" borderId="114" xfId="0" applyFont="1" applyFill="1" applyBorder="1" applyAlignment="1" applyProtection="1">
      <alignment horizontal="center" vertical="center"/>
    </xf>
    <xf numFmtId="0" fontId="27" fillId="27" borderId="74" xfId="0" applyFont="1" applyFill="1" applyBorder="1" applyAlignment="1" applyProtection="1">
      <alignment horizontal="center" vertical="center" shrinkToFit="1"/>
    </xf>
    <xf numFmtId="0" fontId="24" fillId="27" borderId="71" xfId="0" applyFont="1" applyFill="1" applyBorder="1" applyAlignment="1" applyProtection="1">
      <alignment horizontal="center" vertical="center"/>
    </xf>
    <xf numFmtId="0" fontId="24" fillId="27" borderId="72" xfId="0" applyFont="1" applyFill="1" applyBorder="1" applyAlignment="1" applyProtection="1">
      <alignment horizontal="center" vertical="center"/>
    </xf>
    <xf numFmtId="0" fontId="24" fillId="27" borderId="73" xfId="0" applyFont="1" applyFill="1" applyBorder="1" applyAlignment="1" applyProtection="1">
      <alignment horizontal="center" vertical="center"/>
    </xf>
    <xf numFmtId="0" fontId="26" fillId="27" borderId="78" xfId="0" applyFont="1" applyFill="1" applyBorder="1" applyAlignment="1" applyProtection="1">
      <alignment horizontal="center" vertical="center"/>
    </xf>
    <xf numFmtId="0" fontId="25" fillId="0" borderId="78" xfId="0" applyFont="1" applyBorder="1" applyAlignment="1" applyProtection="1">
      <alignment horizontal="left" vertical="center" wrapText="1"/>
    </xf>
    <xf numFmtId="0" fontId="25" fillId="0" borderId="78" xfId="0" applyFont="1" applyBorder="1" applyAlignment="1" applyProtection="1">
      <alignment horizontal="left" vertical="center"/>
    </xf>
    <xf numFmtId="178" fontId="46" fillId="0" borderId="0" xfId="0" applyNumberFormat="1" applyFont="1" applyAlignment="1" applyProtection="1">
      <alignment horizontal="center" vertical="center" shrinkToFit="1"/>
    </xf>
    <xf numFmtId="0" fontId="46" fillId="0" borderId="0" xfId="0" applyFont="1" applyAlignment="1" applyProtection="1">
      <alignment horizontal="center" vertical="center"/>
    </xf>
    <xf numFmtId="0" fontId="45" fillId="0" borderId="0" xfId="0" applyFont="1" applyAlignment="1" applyProtection="1">
      <alignment horizontal="left" vertical="center"/>
    </xf>
    <xf numFmtId="3" fontId="28" fillId="0" borderId="102" xfId="0" applyNumberFormat="1" applyFont="1" applyBorder="1" applyAlignment="1" applyProtection="1">
      <alignment horizontal="right" vertical="center"/>
      <protection locked="0"/>
    </xf>
    <xf numFmtId="3" fontId="28" fillId="0" borderId="11" xfId="0" applyNumberFormat="1" applyFont="1" applyBorder="1" applyAlignment="1" applyProtection="1">
      <alignment horizontal="right" vertical="center"/>
      <protection locked="0"/>
    </xf>
    <xf numFmtId="3" fontId="26" fillId="0" borderId="119" xfId="0" applyNumberFormat="1" applyFont="1" applyBorder="1" applyAlignment="1" applyProtection="1">
      <alignment horizontal="right" vertical="center"/>
    </xf>
    <xf numFmtId="3" fontId="26" fillId="0" borderId="126" xfId="0" applyNumberFormat="1" applyFont="1" applyBorder="1" applyAlignment="1" applyProtection="1">
      <alignment horizontal="right" vertical="center"/>
    </xf>
    <xf numFmtId="3" fontId="26" fillId="0" borderId="129" xfId="0" applyNumberFormat="1" applyFont="1" applyBorder="1" applyAlignment="1" applyProtection="1">
      <alignment horizontal="right" vertical="center"/>
    </xf>
    <xf numFmtId="3" fontId="26" fillId="0" borderId="14" xfId="0" applyNumberFormat="1" applyFont="1" applyBorder="1" applyAlignment="1" applyProtection="1">
      <alignment horizontal="right" vertical="center"/>
    </xf>
    <xf numFmtId="0" fontId="27" fillId="0" borderId="123" xfId="0" applyFont="1" applyBorder="1" applyAlignment="1" applyProtection="1">
      <alignment horizontal="center" vertical="center" wrapText="1"/>
    </xf>
    <xf numFmtId="0" fontId="27" fillId="0" borderId="124" xfId="0" applyFont="1" applyBorder="1" applyAlignment="1" applyProtection="1">
      <alignment horizontal="center" vertical="center"/>
    </xf>
    <xf numFmtId="0" fontId="27" fillId="0" borderId="125" xfId="0" applyFont="1" applyBorder="1" applyAlignment="1" applyProtection="1">
      <alignment horizontal="center" vertical="center"/>
    </xf>
    <xf numFmtId="0" fontId="27" fillId="0" borderId="127" xfId="0" applyFont="1" applyBorder="1" applyAlignment="1" applyProtection="1">
      <alignment horizontal="center" vertical="center" wrapText="1"/>
    </xf>
    <xf numFmtId="0" fontId="27" fillId="0" borderId="128" xfId="0" applyFont="1" applyBorder="1" applyAlignment="1" applyProtection="1">
      <alignment horizontal="center" vertical="center"/>
    </xf>
    <xf numFmtId="0" fontId="27" fillId="0" borderId="109" xfId="0" applyFont="1" applyBorder="1" applyAlignment="1" applyProtection="1">
      <alignment horizontal="center" vertical="center"/>
    </xf>
    <xf numFmtId="0" fontId="27" fillId="0" borderId="71" xfId="0" applyFont="1" applyBorder="1" applyAlignment="1" applyProtection="1">
      <alignment horizontal="center" vertical="center" wrapText="1"/>
    </xf>
    <xf numFmtId="0" fontId="27" fillId="0" borderId="72" xfId="0" applyFont="1" applyBorder="1" applyAlignment="1" applyProtection="1">
      <alignment horizontal="center" vertical="center" wrapText="1"/>
    </xf>
    <xf numFmtId="0" fontId="27" fillId="0" borderId="75" xfId="0" applyFont="1" applyBorder="1" applyAlignment="1" applyProtection="1">
      <alignment horizontal="center" vertical="center" wrapText="1"/>
    </xf>
    <xf numFmtId="3" fontId="26" fillId="0" borderId="74" xfId="0" applyNumberFormat="1" applyFont="1" applyBorder="1" applyAlignment="1" applyProtection="1">
      <alignment horizontal="right" vertical="center"/>
    </xf>
    <xf numFmtId="3" fontId="26" fillId="0" borderId="115" xfId="0" applyNumberFormat="1" applyFont="1" applyBorder="1" applyAlignment="1" applyProtection="1">
      <alignment horizontal="right" vertical="center"/>
    </xf>
    <xf numFmtId="0" fontId="27" fillId="28" borderId="74" xfId="0" applyFont="1" applyFill="1" applyBorder="1" applyAlignment="1" applyProtection="1">
      <alignment horizontal="center" vertical="center"/>
    </xf>
    <xf numFmtId="0" fontId="27" fillId="0" borderId="53" xfId="0" applyFont="1" applyBorder="1" applyAlignment="1" applyProtection="1">
      <alignment horizontal="center" vertical="center"/>
    </xf>
    <xf numFmtId="0" fontId="27" fillId="0" borderId="107" xfId="0" applyFont="1" applyBorder="1" applyAlignment="1" applyProtection="1">
      <alignment horizontal="center" vertical="center"/>
    </xf>
    <xf numFmtId="0" fontId="25" fillId="0" borderId="66" xfId="0" applyFont="1" applyBorder="1" applyAlignment="1" applyProtection="1">
      <alignment horizontal="center" vertical="center"/>
      <protection locked="0"/>
    </xf>
    <xf numFmtId="0" fontId="25" fillId="0" borderId="130" xfId="0" applyFont="1" applyBorder="1" applyAlignment="1" applyProtection="1">
      <alignment horizontal="center" vertical="center"/>
      <protection locked="0"/>
    </xf>
    <xf numFmtId="0" fontId="25" fillId="0" borderId="78" xfId="0" applyFont="1" applyBorder="1" applyAlignment="1" applyProtection="1">
      <alignment horizontal="center" vertical="center"/>
      <protection locked="0"/>
    </xf>
    <xf numFmtId="0" fontId="25" fillId="0" borderId="120" xfId="0" applyFont="1" applyBorder="1" applyAlignment="1" applyProtection="1">
      <alignment horizontal="center" vertical="center"/>
      <protection locked="0"/>
    </xf>
    <xf numFmtId="0" fontId="27" fillId="30" borderId="74" xfId="0" applyFont="1" applyFill="1" applyBorder="1" applyAlignment="1" applyProtection="1">
      <alignment horizontal="center" vertical="center"/>
    </xf>
    <xf numFmtId="0" fontId="27" fillId="30" borderId="118" xfId="0" applyFont="1" applyFill="1" applyBorder="1" applyAlignment="1" applyProtection="1">
      <alignment horizontal="center" vertical="center"/>
    </xf>
    <xf numFmtId="0" fontId="25" fillId="0" borderId="107" xfId="0" applyFont="1" applyBorder="1" applyAlignment="1" applyProtection="1">
      <alignment horizontal="center" vertical="center"/>
      <protection locked="0"/>
    </xf>
    <xf numFmtId="0" fontId="25" fillId="0" borderId="121" xfId="0" applyFont="1" applyBorder="1" applyAlignment="1" applyProtection="1">
      <alignment horizontal="center" vertical="center"/>
      <protection locked="0"/>
    </xf>
    <xf numFmtId="0" fontId="27" fillId="29" borderId="74" xfId="0" applyFont="1" applyFill="1" applyBorder="1" applyAlignment="1" applyProtection="1">
      <alignment horizontal="center" vertical="center"/>
    </xf>
    <xf numFmtId="0" fontId="35" fillId="24" borderId="0" xfId="0" applyFont="1" applyFill="1" applyBorder="1" applyAlignment="1">
      <alignment horizontal="right" vertical="center"/>
    </xf>
    <xf numFmtId="0" fontId="25" fillId="0" borderId="0" xfId="0" applyFont="1" applyAlignment="1">
      <alignment horizontal="right" vertical="center"/>
    </xf>
    <xf numFmtId="10" fontId="33" fillId="27" borderId="83" xfId="0" applyNumberFormat="1" applyFont="1" applyFill="1" applyBorder="1" applyAlignment="1">
      <alignment vertical="center"/>
    </xf>
    <xf numFmtId="0" fontId="33" fillId="27" borderId="46" xfId="0" applyFont="1" applyFill="1" applyBorder="1" applyAlignment="1">
      <alignment vertical="center"/>
    </xf>
    <xf numFmtId="0" fontId="33" fillId="27" borderId="47" xfId="0" applyFont="1" applyFill="1" applyBorder="1" applyAlignment="1">
      <alignment vertical="center"/>
    </xf>
    <xf numFmtId="176" fontId="33" fillId="24" borderId="83" xfId="0" applyNumberFormat="1" applyFont="1" applyFill="1" applyBorder="1" applyAlignment="1">
      <alignment vertical="center"/>
    </xf>
    <xf numFmtId="0" fontId="33" fillId="24" borderId="47" xfId="0" applyFont="1" applyFill="1" applyBorder="1" applyAlignment="1">
      <alignment vertical="center"/>
    </xf>
    <xf numFmtId="0" fontId="25" fillId="0" borderId="0" xfId="0" applyFont="1" applyBorder="1" applyAlignment="1">
      <alignment horizontal="right" vertical="center"/>
    </xf>
    <xf numFmtId="176" fontId="33" fillId="25" borderId="69" xfId="0" applyNumberFormat="1" applyFont="1" applyFill="1" applyBorder="1" applyAlignment="1">
      <alignment horizontal="right" vertical="center"/>
    </xf>
    <xf numFmtId="176" fontId="34" fillId="24" borderId="0" xfId="0" applyNumberFormat="1" applyFont="1" applyFill="1" applyBorder="1" applyAlignment="1">
      <alignment horizontal="right" vertical="center"/>
    </xf>
    <xf numFmtId="176" fontId="33" fillId="24" borderId="50" xfId="0" applyNumberFormat="1" applyFont="1" applyFill="1" applyBorder="1" applyAlignment="1">
      <alignment vertical="center"/>
    </xf>
    <xf numFmtId="0" fontId="33" fillId="24" borderId="51" xfId="0" applyFont="1" applyFill="1" applyBorder="1" applyAlignment="1">
      <alignment vertical="center"/>
    </xf>
    <xf numFmtId="10" fontId="33" fillId="27" borderId="45" xfId="0" applyNumberFormat="1" applyFont="1" applyFill="1" applyBorder="1" applyAlignment="1">
      <alignment vertical="center"/>
    </xf>
    <xf numFmtId="0" fontId="32" fillId="24" borderId="16" xfId="0" applyFont="1" applyFill="1" applyBorder="1" applyAlignment="1">
      <alignment horizontal="center" vertical="center" wrapText="1"/>
    </xf>
    <xf numFmtId="0" fontId="32" fillId="24" borderId="0" xfId="0" applyFont="1" applyFill="1" applyBorder="1" applyAlignment="1">
      <alignment horizontal="center" vertical="center" wrapText="1"/>
    </xf>
    <xf numFmtId="0" fontId="32" fillId="24" borderId="16" xfId="0" applyFont="1" applyFill="1" applyBorder="1" applyAlignment="1">
      <alignment horizontal="center" vertical="center"/>
    </xf>
    <xf numFmtId="0" fontId="32" fillId="24" borderId="0" xfId="0" applyFont="1" applyFill="1" applyBorder="1" applyAlignment="1">
      <alignment horizontal="center" vertical="center"/>
    </xf>
    <xf numFmtId="0" fontId="25" fillId="24" borderId="16" xfId="0" applyFont="1" applyFill="1" applyBorder="1" applyAlignment="1">
      <alignment horizontal="center" vertical="center"/>
    </xf>
    <xf numFmtId="0" fontId="25" fillId="24" borderId="0" xfId="0" applyFont="1" applyFill="1" applyBorder="1" applyAlignment="1">
      <alignment horizontal="center" vertical="center"/>
    </xf>
    <xf numFmtId="0" fontId="25" fillId="24" borderId="52" xfId="0" applyFont="1" applyFill="1" applyBorder="1" applyAlignment="1">
      <alignment horizontal="center" vertical="center"/>
    </xf>
    <xf numFmtId="0" fontId="31" fillId="28" borderId="58" xfId="0" applyFont="1" applyFill="1" applyBorder="1" applyAlignment="1">
      <alignment horizontal="center" vertical="center"/>
    </xf>
    <xf numFmtId="0" fontId="31" fillId="28" borderId="59" xfId="0" applyFont="1" applyFill="1" applyBorder="1" applyAlignment="1">
      <alignment horizontal="center" vertical="center"/>
    </xf>
    <xf numFmtId="0" fontId="31" fillId="28" borderId="79" xfId="0" applyFont="1" applyFill="1" applyBorder="1" applyAlignment="1">
      <alignment horizontal="center" vertical="center"/>
    </xf>
    <xf numFmtId="0" fontId="32" fillId="24" borderId="16" xfId="0" applyFont="1" applyFill="1" applyBorder="1" applyAlignment="1">
      <alignment horizontal="right" vertical="center"/>
    </xf>
    <xf numFmtId="0" fontId="32" fillId="24" borderId="0" xfId="0" applyFont="1" applyFill="1" applyBorder="1" applyAlignment="1">
      <alignment horizontal="right" vertical="center"/>
    </xf>
    <xf numFmtId="0" fontId="32" fillId="0" borderId="16" xfId="0" applyFont="1" applyFill="1" applyBorder="1" applyAlignment="1">
      <alignment horizontal="center" vertical="center"/>
    </xf>
    <xf numFmtId="0" fontId="32" fillId="0" borderId="0" xfId="0" applyFont="1" applyFill="1" applyBorder="1" applyAlignment="1">
      <alignment horizontal="center" vertical="center"/>
    </xf>
    <xf numFmtId="0" fontId="31" fillId="28" borderId="67" xfId="0" applyFont="1" applyFill="1" applyBorder="1" applyAlignment="1">
      <alignment horizontal="center" vertical="center"/>
    </xf>
    <xf numFmtId="0" fontId="25" fillId="28" borderId="67" xfId="0" applyFont="1" applyFill="1" applyBorder="1" applyAlignment="1">
      <alignment horizontal="center" vertical="center"/>
    </xf>
    <xf numFmtId="176" fontId="33" fillId="24" borderId="20" xfId="0" applyNumberFormat="1" applyFont="1" applyFill="1" applyBorder="1" applyAlignment="1">
      <alignment horizontal="right" vertical="center"/>
    </xf>
    <xf numFmtId="176" fontId="33" fillId="25" borderId="33" xfId="0" applyNumberFormat="1" applyFont="1" applyFill="1" applyBorder="1" applyAlignment="1">
      <alignment horizontal="right" vertical="center"/>
    </xf>
    <xf numFmtId="0" fontId="25" fillId="0" borderId="69" xfId="0" applyFont="1" applyBorder="1" applyAlignment="1">
      <alignment horizontal="right" vertical="center"/>
    </xf>
    <xf numFmtId="176" fontId="33" fillId="25" borderId="0" xfId="0" applyNumberFormat="1" applyFont="1" applyFill="1" applyBorder="1" applyAlignment="1">
      <alignment horizontal="right" vertical="center"/>
    </xf>
    <xf numFmtId="0" fontId="31" fillId="28" borderId="65" xfId="0" applyFont="1" applyFill="1" applyBorder="1" applyAlignment="1">
      <alignment horizontal="center" vertical="center"/>
    </xf>
    <xf numFmtId="0" fontId="31" fillId="28" borderId="88" xfId="0" applyFont="1" applyFill="1" applyBorder="1" applyAlignment="1">
      <alignment horizontal="center" vertical="center"/>
    </xf>
    <xf numFmtId="176" fontId="33" fillId="24" borderId="87" xfId="0" applyNumberFormat="1" applyFont="1" applyFill="1" applyBorder="1" applyAlignment="1">
      <alignment horizontal="right" vertical="center"/>
    </xf>
    <xf numFmtId="176" fontId="34" fillId="31" borderId="0" xfId="0" applyNumberFormat="1" applyFont="1" applyFill="1" applyBorder="1" applyAlignment="1">
      <alignment horizontal="right" vertical="center"/>
    </xf>
    <xf numFmtId="176" fontId="37" fillId="0" borderId="54" xfId="0" applyNumberFormat="1" applyFont="1" applyFill="1" applyBorder="1" applyAlignment="1">
      <alignment horizontal="right" vertical="center"/>
    </xf>
    <xf numFmtId="0" fontId="31" fillId="29" borderId="58" xfId="0" applyFont="1" applyFill="1" applyBorder="1" applyAlignment="1">
      <alignment horizontal="center" vertical="center"/>
    </xf>
    <xf numFmtId="0" fontId="31" fillId="29" borderId="59" xfId="0" applyFont="1" applyFill="1" applyBorder="1" applyAlignment="1">
      <alignment horizontal="center" vertical="center"/>
    </xf>
    <xf numFmtId="0" fontId="31" fillId="29" borderId="60" xfId="0" applyFont="1" applyFill="1" applyBorder="1" applyAlignment="1">
      <alignment horizontal="center" vertical="center"/>
    </xf>
    <xf numFmtId="0" fontId="31" fillId="29" borderId="67" xfId="0" applyFont="1" applyFill="1" applyBorder="1" applyAlignment="1">
      <alignment horizontal="center" vertical="center"/>
    </xf>
    <xf numFmtId="0" fontId="25" fillId="29" borderId="67" xfId="0" applyFont="1" applyFill="1" applyBorder="1" applyAlignment="1">
      <alignment horizontal="center" vertical="center"/>
    </xf>
    <xf numFmtId="176" fontId="37" fillId="24" borderId="54" xfId="0" applyNumberFormat="1" applyFont="1" applyFill="1" applyBorder="1" applyAlignment="1">
      <alignment horizontal="right" vertical="center"/>
    </xf>
    <xf numFmtId="0" fontId="31" fillId="29" borderId="65" xfId="0" applyFont="1" applyFill="1" applyBorder="1" applyAlignment="1">
      <alignment horizontal="center" vertical="center"/>
    </xf>
    <xf numFmtId="0" fontId="31" fillId="29" borderId="88" xfId="0" applyFont="1" applyFill="1" applyBorder="1" applyAlignment="1">
      <alignment horizontal="center" vertical="center"/>
    </xf>
    <xf numFmtId="176" fontId="42" fillId="24" borderId="48" xfId="0" applyNumberFormat="1" applyFont="1" applyFill="1" applyBorder="1" applyAlignment="1">
      <alignment horizontal="right" vertical="center" indent="1"/>
    </xf>
    <xf numFmtId="176" fontId="42" fillId="24" borderId="23" xfId="0" applyNumberFormat="1" applyFont="1" applyFill="1" applyBorder="1" applyAlignment="1">
      <alignment horizontal="right" vertical="center" indent="1"/>
    </xf>
    <xf numFmtId="176" fontId="42" fillId="24" borderId="13" xfId="0" applyNumberFormat="1" applyFont="1" applyFill="1" applyBorder="1" applyAlignment="1">
      <alignment horizontal="right" vertical="center" indent="1"/>
    </xf>
    <xf numFmtId="0" fontId="31" fillId="30" borderId="61" xfId="0" applyFont="1" applyFill="1" applyBorder="1" applyAlignment="1">
      <alignment horizontal="center" vertical="center"/>
    </xf>
    <xf numFmtId="0" fontId="31" fillId="30" borderId="62" xfId="0" applyFont="1" applyFill="1" applyBorder="1" applyAlignment="1">
      <alignment horizontal="center" vertical="center"/>
    </xf>
    <xf numFmtId="0" fontId="32" fillId="24" borderId="49" xfId="0" applyFont="1" applyFill="1" applyBorder="1" applyAlignment="1">
      <alignment horizontal="right" vertical="center"/>
    </xf>
    <xf numFmtId="0" fontId="36" fillId="24" borderId="16" xfId="0" applyFont="1" applyFill="1" applyBorder="1" applyAlignment="1">
      <alignment horizontal="center" vertical="center" wrapText="1"/>
    </xf>
    <xf numFmtId="0" fontId="36" fillId="24" borderId="49" xfId="0" applyFont="1" applyFill="1" applyBorder="1" applyAlignment="1">
      <alignment horizontal="center" vertical="center" wrapText="1"/>
    </xf>
    <xf numFmtId="0" fontId="24" fillId="27" borderId="71" xfId="0" applyFont="1" applyFill="1" applyBorder="1" applyAlignment="1">
      <alignment horizontal="center" vertical="center"/>
    </xf>
    <xf numFmtId="0" fontId="24" fillId="27" borderId="72" xfId="0" applyFont="1" applyFill="1" applyBorder="1" applyAlignment="1">
      <alignment horizontal="center" vertical="center"/>
    </xf>
    <xf numFmtId="0" fontId="24" fillId="27" borderId="73" xfId="0" applyFont="1" applyFill="1" applyBorder="1" applyAlignment="1">
      <alignment horizontal="center" vertical="center"/>
    </xf>
    <xf numFmtId="176" fontId="39" fillId="24" borderId="14" xfId="0" applyNumberFormat="1" applyFont="1" applyFill="1" applyBorder="1" applyAlignment="1">
      <alignment horizontal="center" vertical="center"/>
    </xf>
    <xf numFmtId="0" fontId="39" fillId="24" borderId="14" xfId="0" applyFont="1" applyFill="1" applyBorder="1" applyAlignment="1">
      <alignment horizontal="center" vertical="center"/>
    </xf>
    <xf numFmtId="176" fontId="40" fillId="24" borderId="14" xfId="0" applyNumberFormat="1" applyFont="1" applyFill="1" applyBorder="1" applyAlignment="1">
      <alignment horizontal="right" vertical="center"/>
    </xf>
    <xf numFmtId="176" fontId="41" fillId="24" borderId="43" xfId="0" applyNumberFormat="1" applyFont="1" applyFill="1" applyBorder="1" applyAlignment="1">
      <alignment horizontal="right" vertical="center" indent="1"/>
    </xf>
    <xf numFmtId="176" fontId="41" fillId="24" borderId="21" xfId="0" applyNumberFormat="1" applyFont="1" applyFill="1" applyBorder="1" applyAlignment="1">
      <alignment horizontal="right" vertical="center" indent="1"/>
    </xf>
    <xf numFmtId="176" fontId="41" fillId="24" borderId="44" xfId="0" applyNumberFormat="1" applyFont="1" applyFill="1" applyBorder="1" applyAlignment="1">
      <alignment horizontal="right" vertical="center" indent="1"/>
    </xf>
    <xf numFmtId="176" fontId="39" fillId="24" borderId="0" xfId="0" applyNumberFormat="1" applyFont="1" applyFill="1" applyBorder="1" applyAlignment="1">
      <alignment horizontal="center" vertical="center"/>
    </xf>
    <xf numFmtId="0" fontId="39" fillId="24" borderId="0" xfId="0" applyFont="1" applyFill="1" applyBorder="1" applyAlignment="1">
      <alignment horizontal="center" vertical="center"/>
    </xf>
    <xf numFmtId="176" fontId="40" fillId="24" borderId="0" xfId="0" applyNumberFormat="1" applyFont="1" applyFill="1" applyBorder="1" applyAlignment="1">
      <alignment horizontal="right" vertical="center"/>
    </xf>
    <xf numFmtId="0" fontId="31" fillId="30" borderId="65" xfId="0" applyFont="1" applyFill="1" applyBorder="1" applyAlignment="1">
      <alignment horizontal="center" vertical="center"/>
    </xf>
    <xf numFmtId="0" fontId="31" fillId="30" borderId="88" xfId="0" applyFont="1" applyFill="1" applyBorder="1" applyAlignment="1">
      <alignment horizontal="center" vertical="center"/>
    </xf>
    <xf numFmtId="0" fontId="31" fillId="30" borderId="96" xfId="0" applyFont="1" applyFill="1" applyBorder="1" applyAlignment="1">
      <alignment horizontal="center" vertical="center"/>
    </xf>
    <xf numFmtId="0" fontId="31" fillId="30" borderId="97" xfId="0" applyFont="1" applyFill="1" applyBorder="1" applyAlignment="1">
      <alignment horizontal="center" vertical="center"/>
    </xf>
    <xf numFmtId="0" fontId="0" fillId="0" borderId="98" xfId="0" applyBorder="1" applyAlignment="1" applyProtection="1">
      <alignment horizontal="center" vertical="center" shrinkToFit="1"/>
    </xf>
    <xf numFmtId="0" fontId="0" fillId="0" borderId="99" xfId="0" applyBorder="1" applyAlignment="1" applyProtection="1">
      <alignment horizontal="center" vertical="center" shrinkToFit="1"/>
    </xf>
    <xf numFmtId="0" fontId="0" fillId="0" borderId="112" xfId="0" applyBorder="1" applyAlignment="1" applyProtection="1">
      <alignment horizontal="center" vertical="center"/>
    </xf>
    <xf numFmtId="0" fontId="0" fillId="0" borderId="70" xfId="0" applyBorder="1" applyAlignment="1" applyProtection="1">
      <alignment horizontal="center" vertical="center"/>
    </xf>
    <xf numFmtId="0" fontId="0" fillId="0" borderId="66" xfId="0" applyBorder="1" applyAlignment="1" applyProtection="1">
      <alignment horizontal="center" vertical="center"/>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良い" xfId="42" builtinId="26" customBuiltin="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FFDDDD"/>
      <rgbColor rgb="00DDDDDD"/>
      <rgbColor rgb="00FFFFCC"/>
      <rgbColor rgb="00CCFFFF"/>
      <rgbColor rgb="00660066"/>
      <rgbColor rgb="00FF8080"/>
      <rgbColor rgb="000066CC"/>
      <rgbColor rgb="00CCCCFF"/>
      <rgbColor rgb="00000080"/>
      <rgbColor rgb="00EAEAEA"/>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0C0C0"/>
      <color rgb="FFFFFF99"/>
      <color rgb="FF99CCFF"/>
      <color rgb="FF969696"/>
      <color rgb="FFCCFFCC"/>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fmlaLink="'計算基準（非公開）'!$H$4" lockText="1" noThreeD="1"/>
</file>

<file path=xl/ctrlProps/ctrlProp2.xml><?xml version="1.0" encoding="utf-8"?>
<formControlPr xmlns="http://schemas.microsoft.com/office/spreadsheetml/2009/9/main" objectType="CheckBox" fmlaLink="'計算基準（非公開）'!$H$5" lockText="1" noThreeD="1"/>
</file>

<file path=xl/ctrlProps/ctrlProp3.xml><?xml version="1.0" encoding="utf-8"?>
<formControlPr xmlns="http://schemas.microsoft.com/office/spreadsheetml/2009/9/main" objectType="CheckBox" fmlaLink="'計算基準（非公開）'!$H$6" lockText="1" noThreeD="1"/>
</file>

<file path=xl/ctrlProps/ctrlProp4.xml><?xml version="1.0" encoding="utf-8"?>
<formControlPr xmlns="http://schemas.microsoft.com/office/spreadsheetml/2009/9/main" objectType="CheckBox" fmlaLink="'計算基準（非公開）'!$H$7" lockText="1" noThreeD="1"/>
</file>

<file path=xl/ctrlProps/ctrlProp5.xml><?xml version="1.0" encoding="utf-8"?>
<formControlPr xmlns="http://schemas.microsoft.com/office/spreadsheetml/2009/9/main" objectType="CheckBox" fmlaLink="'計算基準（非公開）'!$H$8" lockText="1" noThreeD="1"/>
</file>

<file path=xl/ctrlProps/ctrlProp6.xml><?xml version="1.0" encoding="utf-8"?>
<formControlPr xmlns="http://schemas.microsoft.com/office/spreadsheetml/2009/9/main" objectType="CheckBox" fmlaLink="'計算基準（非公開）'!$H$3" noThreeD="1"/>
</file>

<file path=xl/drawings/drawing1.xml><?xml version="1.0" encoding="utf-8"?>
<xdr:wsDr xmlns:xdr="http://schemas.openxmlformats.org/drawingml/2006/spreadsheetDrawing" xmlns:a="http://schemas.openxmlformats.org/drawingml/2006/main">
  <xdr:twoCellAnchor>
    <xdr:from>
      <xdr:col>2</xdr:col>
      <xdr:colOff>23812</xdr:colOff>
      <xdr:row>44</xdr:row>
      <xdr:rowOff>50024</xdr:rowOff>
    </xdr:from>
    <xdr:to>
      <xdr:col>50</xdr:col>
      <xdr:colOff>23812</xdr:colOff>
      <xdr:row>57</xdr:row>
      <xdr:rowOff>134470</xdr:rowOff>
    </xdr:to>
    <xdr:sp macro="" textlink="">
      <xdr:nvSpPr>
        <xdr:cNvPr id="2" name="角丸四角形 1"/>
        <xdr:cNvSpPr/>
      </xdr:nvSpPr>
      <xdr:spPr>
        <a:xfrm>
          <a:off x="190500" y="12277743"/>
          <a:ext cx="10287000" cy="2251383"/>
        </a:xfrm>
        <a:prstGeom prst="roundRect">
          <a:avLst>
            <a:gd name="adj" fmla="val 4657"/>
          </a:avLst>
        </a:prstGeom>
        <a:solidFill>
          <a:schemeClr val="bg1">
            <a:lumMod val="9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rtl="0">
            <a:lnSpc>
              <a:spcPts val="1300"/>
            </a:lnSpc>
            <a:defRPr sz="1000"/>
          </a:pPr>
          <a:r>
            <a:rPr lang="en-US" altLang="ja-JP" sz="1200" b="1" i="0" u="none" strike="noStrike" baseline="0">
              <a:solidFill>
                <a:srgbClr val="FF0000"/>
              </a:solidFill>
              <a:latin typeface="BIZ UDゴシック" panose="020B0400000000000000" pitchFamily="49" charset="-128"/>
              <a:ea typeface="BIZ UDゴシック" panose="020B0400000000000000" pitchFamily="49" charset="-128"/>
            </a:rPr>
            <a:t>【</a:t>
          </a:r>
          <a:r>
            <a:rPr lang="ja-JP" altLang="en-US" sz="1200" b="1" i="0" u="none" strike="noStrike" baseline="0">
              <a:solidFill>
                <a:srgbClr val="FF0000"/>
              </a:solidFill>
              <a:latin typeface="BIZ UDゴシック" panose="020B0400000000000000" pitchFamily="49" charset="-128"/>
              <a:ea typeface="BIZ UDゴシック" panose="020B0400000000000000" pitchFamily="49" charset="-128"/>
            </a:rPr>
            <a:t>注意事項</a:t>
          </a:r>
          <a:r>
            <a:rPr lang="en-US" altLang="ja-JP" sz="1200" b="1" i="0" u="none" strike="noStrike" baseline="0">
              <a:solidFill>
                <a:srgbClr val="FF0000"/>
              </a:solidFill>
              <a:latin typeface="BIZ UDゴシック" panose="020B0400000000000000" pitchFamily="49" charset="-128"/>
              <a:ea typeface="BIZ UDゴシック" panose="020B0400000000000000" pitchFamily="49" charset="-128"/>
            </a:rPr>
            <a:t>】</a:t>
          </a:r>
        </a:p>
        <a:p>
          <a:pPr algn="l" rtl="0">
            <a:lnSpc>
              <a:spcPts val="1300"/>
            </a:lnSpc>
            <a:defRPr sz="1000"/>
          </a:pPr>
          <a:r>
            <a:rPr lang="ja-JP" altLang="en-US" sz="900" b="0" i="0" u="none" strike="noStrike" baseline="0">
              <a:solidFill>
                <a:schemeClr val="tx1"/>
              </a:solidFill>
              <a:latin typeface="BIZ UDゴシック" panose="020B0400000000000000" pitchFamily="49" charset="-128"/>
              <a:ea typeface="BIZ UDゴシック" panose="020B0400000000000000" pitchFamily="49" charset="-128"/>
            </a:rPr>
            <a:t>※上記結果はあくまでも試算であり、実際の保険料額と異なる場合があります。</a:t>
          </a:r>
        </a:p>
        <a:p>
          <a:pPr algn="l" rtl="0">
            <a:defRPr sz="1000"/>
          </a:pPr>
          <a:r>
            <a:rPr lang="ja-JP" altLang="en-US" sz="900" b="0" i="0" u="none" strike="noStrike" baseline="0">
              <a:solidFill>
                <a:srgbClr val="333333"/>
              </a:solidFill>
              <a:latin typeface="BIZ UDゴシック" panose="020B0400000000000000" pitchFamily="49" charset="-128"/>
              <a:ea typeface="BIZ UDゴシック" panose="020B0400000000000000" pitchFamily="49" charset="-128"/>
            </a:rPr>
            <a:t>※年度の途中に</a:t>
          </a:r>
          <a:r>
            <a:rPr lang="ja-JP" altLang="en-US" sz="900" b="0" i="0" u="sng" strike="noStrike" baseline="0">
              <a:solidFill>
                <a:srgbClr val="333333"/>
              </a:solidFill>
              <a:latin typeface="BIZ UDゴシック" panose="020B0400000000000000" pitchFamily="49" charset="-128"/>
              <a:ea typeface="BIZ UDゴシック" panose="020B0400000000000000" pitchFamily="49" charset="-128"/>
            </a:rPr>
            <a:t>加入者の所得</a:t>
          </a:r>
          <a:r>
            <a:rPr lang="ja-JP" altLang="en-US" sz="900" b="0" i="0" u="none" strike="noStrike" baseline="0">
              <a:solidFill>
                <a:srgbClr val="333333"/>
              </a:solidFill>
              <a:latin typeface="BIZ UDゴシック" panose="020B0400000000000000" pitchFamily="49" charset="-128"/>
              <a:ea typeface="BIZ UDゴシック" panose="020B0400000000000000" pitchFamily="49" charset="-128"/>
            </a:rPr>
            <a:t>や</a:t>
          </a:r>
          <a:r>
            <a:rPr lang="ja-JP" altLang="en-US" sz="900" b="0" i="0" u="sng" strike="noStrike" baseline="0">
              <a:solidFill>
                <a:srgbClr val="333333"/>
              </a:solidFill>
              <a:latin typeface="BIZ UDゴシック" panose="020B0400000000000000" pitchFamily="49" charset="-128"/>
              <a:ea typeface="BIZ UDゴシック" panose="020B0400000000000000" pitchFamily="49" charset="-128"/>
            </a:rPr>
            <a:t>加入者数</a:t>
          </a:r>
          <a:r>
            <a:rPr lang="ja-JP" altLang="en-US" sz="900" b="0" i="0" u="none" strike="noStrike" baseline="0">
              <a:solidFill>
                <a:srgbClr val="333333"/>
              </a:solidFill>
              <a:latin typeface="BIZ UDゴシック" panose="020B0400000000000000" pitchFamily="49" charset="-128"/>
              <a:ea typeface="BIZ UDゴシック" panose="020B0400000000000000" pitchFamily="49" charset="-128"/>
            </a:rPr>
            <a:t>が変わる場合は、このシートでは正しく計算できません。</a:t>
          </a:r>
        </a:p>
        <a:p>
          <a:pPr algn="l" rtl="0">
            <a:defRPr sz="1000"/>
          </a:pPr>
          <a:r>
            <a:rPr lang="ja-JP" altLang="en-US" sz="900" b="0" i="0" u="none" strike="noStrike" baseline="0">
              <a:solidFill>
                <a:srgbClr val="333333"/>
              </a:solidFill>
              <a:latin typeface="BIZ UDゴシック" panose="020B0400000000000000" pitchFamily="49" charset="-128"/>
              <a:ea typeface="BIZ UDゴシック" panose="020B0400000000000000" pitchFamily="49" charset="-128"/>
            </a:rPr>
            <a:t>※次のいずれかの項目に該当する場合は、このシートでは正しく計算できません。</a:t>
          </a:r>
        </a:p>
        <a:p>
          <a:pPr algn="l" rtl="0">
            <a:defRPr sz="1000"/>
          </a:pPr>
          <a:r>
            <a:rPr lang="ja-JP" altLang="en-US" sz="900" b="0" i="0" u="none" strike="noStrike" baseline="0">
              <a:solidFill>
                <a:srgbClr val="333333"/>
              </a:solidFill>
              <a:latin typeface="BIZ UDゴシック" panose="020B0400000000000000" pitchFamily="49" charset="-128"/>
              <a:ea typeface="BIZ UDゴシック" panose="020B0400000000000000" pitchFamily="49" charset="-128"/>
            </a:rPr>
            <a:t>　（１）年度の途中に加入者が４０歳に到達し、介護保険第２号被保険者となる場合</a:t>
          </a:r>
        </a:p>
        <a:p>
          <a:pPr algn="l" rtl="0">
            <a:defRPr sz="1000"/>
          </a:pPr>
          <a:r>
            <a:rPr lang="ja-JP" altLang="en-US" sz="900" b="0" i="0" u="none" strike="noStrike" baseline="0">
              <a:solidFill>
                <a:srgbClr val="333333"/>
              </a:solidFill>
              <a:latin typeface="BIZ UDゴシック" panose="020B0400000000000000" pitchFamily="49" charset="-128"/>
              <a:ea typeface="BIZ UDゴシック" panose="020B0400000000000000" pitchFamily="49" charset="-128"/>
            </a:rPr>
            <a:t>　（２）年度の途中に加入者が６５歳に到達し、介護保険第２号被保険者でなくなる（介護保険第１号被保険者となる）場合</a:t>
          </a:r>
          <a:endParaRPr lang="en-US" altLang="ja-JP" sz="900" b="0" i="0" u="none" strike="noStrike" baseline="0">
            <a:solidFill>
              <a:srgbClr val="333333"/>
            </a:solidFill>
            <a:latin typeface="BIZ UDゴシック" panose="020B0400000000000000" pitchFamily="49" charset="-128"/>
            <a:ea typeface="BIZ UDゴシック" panose="020B0400000000000000" pitchFamily="49" charset="-128"/>
          </a:endParaRPr>
        </a:p>
        <a:p>
          <a:pPr algn="l" rtl="0">
            <a:defRPr sz="1000"/>
          </a:pPr>
          <a:r>
            <a:rPr lang="ja-JP" altLang="en-US" sz="900" b="0" i="0" u="none" strike="noStrike" baseline="0">
              <a:solidFill>
                <a:srgbClr val="333333"/>
              </a:solidFill>
              <a:latin typeface="BIZ UDゴシック" panose="020B0400000000000000" pitchFamily="49" charset="-128"/>
              <a:ea typeface="BIZ UDゴシック" panose="020B0400000000000000" pitchFamily="49" charset="-128"/>
            </a:rPr>
            <a:t>　（３）</a:t>
          </a:r>
          <a:r>
            <a:rPr lang="en-US" altLang="ja-JP" sz="900" b="0" i="0" u="none" strike="noStrike" baseline="0">
              <a:solidFill>
                <a:srgbClr val="333333"/>
              </a:solidFill>
              <a:latin typeface="BIZ UDゴシック" panose="020B0400000000000000" pitchFamily="49" charset="-128"/>
              <a:ea typeface="BIZ UDゴシック" panose="020B0400000000000000" pitchFamily="49" charset="-128"/>
            </a:rPr>
            <a:t>1</a:t>
          </a:r>
          <a:r>
            <a:rPr lang="ja-JP" altLang="en-US" sz="900" b="0" i="0" u="none" strike="noStrike" baseline="0">
              <a:solidFill>
                <a:srgbClr val="333333"/>
              </a:solidFill>
              <a:latin typeface="BIZ UDゴシック" panose="020B0400000000000000" pitchFamily="49" charset="-128"/>
              <a:ea typeface="BIZ UDゴシック" panose="020B0400000000000000" pitchFamily="49" charset="-128"/>
            </a:rPr>
            <a:t>月</a:t>
          </a:r>
          <a:r>
            <a:rPr lang="en-US" altLang="ja-JP" sz="900" b="0" i="0" u="none" strike="noStrike" baseline="0">
              <a:solidFill>
                <a:srgbClr val="333333"/>
              </a:solidFill>
              <a:latin typeface="BIZ UDゴシック" panose="020B0400000000000000" pitchFamily="49" charset="-128"/>
              <a:ea typeface="BIZ UDゴシック" panose="020B0400000000000000" pitchFamily="49" charset="-128"/>
            </a:rPr>
            <a:t>2</a:t>
          </a:r>
          <a:r>
            <a:rPr lang="ja-JP" altLang="en-US" sz="900" b="0" i="0" u="none" strike="noStrike" baseline="0">
              <a:solidFill>
                <a:srgbClr val="333333"/>
              </a:solidFill>
              <a:latin typeface="BIZ UDゴシック" panose="020B0400000000000000" pitchFamily="49" charset="-128"/>
              <a:ea typeface="BIZ UDゴシック" panose="020B0400000000000000" pitchFamily="49" charset="-128"/>
            </a:rPr>
            <a:t>日以降に加入者が６５歳に到達し、公的年金等の雑所得の計算が変更となる場合</a:t>
          </a:r>
          <a:endParaRPr lang="en-US" altLang="ja-JP" sz="900" b="0" i="0" u="none" strike="noStrike" baseline="0">
            <a:solidFill>
              <a:srgbClr val="333333"/>
            </a:solidFill>
            <a:latin typeface="BIZ UDゴシック" panose="020B0400000000000000" pitchFamily="49" charset="-128"/>
            <a:ea typeface="BIZ UDゴシック" panose="020B0400000000000000" pitchFamily="49" charset="-128"/>
          </a:endParaRPr>
        </a:p>
        <a:p>
          <a:pPr algn="l" rtl="0">
            <a:defRPr sz="1000"/>
          </a:pPr>
          <a:r>
            <a:rPr lang="ja-JP" altLang="en-US" sz="900" b="0" i="0" u="none" strike="noStrike" baseline="0">
              <a:solidFill>
                <a:srgbClr val="333333"/>
              </a:solidFill>
              <a:latin typeface="BIZ UDゴシック" panose="020B0400000000000000" pitchFamily="49" charset="-128"/>
              <a:ea typeface="BIZ UDゴシック" panose="020B0400000000000000" pitchFamily="49" charset="-128"/>
            </a:rPr>
            <a:t>　（４）年度の途中に加入者が後期高齢者医療制度に加入し、残った国民健康保険の加入者が１人となる場合</a:t>
          </a:r>
          <a:endParaRPr lang="en-US" altLang="ja-JP" sz="900" b="0" i="0" u="none" strike="noStrike" baseline="0">
            <a:solidFill>
              <a:srgbClr val="333333"/>
            </a:solidFill>
            <a:latin typeface="BIZ UDゴシック" panose="020B0400000000000000" pitchFamily="49" charset="-128"/>
            <a:ea typeface="BIZ UDゴシック" panose="020B0400000000000000" pitchFamily="49" charset="-128"/>
          </a:endParaRPr>
        </a:p>
        <a:p>
          <a:pPr algn="l" rtl="0">
            <a:defRPr sz="1000"/>
          </a:pPr>
          <a:r>
            <a:rPr lang="ja-JP" altLang="en-US" sz="900" b="0" i="0" u="none" strike="noStrike" baseline="0">
              <a:solidFill>
                <a:srgbClr val="333333"/>
              </a:solidFill>
              <a:latin typeface="BIZ UDゴシック" panose="020B0400000000000000" pitchFamily="49" charset="-128"/>
              <a:ea typeface="BIZ UDゴシック" panose="020B0400000000000000" pitchFamily="49" charset="-128"/>
            </a:rPr>
            <a:t>　（５）社会保険加入者が７５歳に到達し、後期高齢者医療制度移行に伴い、扶養者だった方が国民健康保険に加入する場合</a:t>
          </a:r>
          <a:endParaRPr lang="en-US" altLang="ja-JP" sz="900" b="0" i="0" u="none" strike="noStrike" baseline="0">
            <a:solidFill>
              <a:srgbClr val="333333"/>
            </a:solidFill>
            <a:latin typeface="BIZ UDゴシック" panose="020B0400000000000000" pitchFamily="49" charset="-128"/>
            <a:ea typeface="BIZ UDゴシック" panose="020B0400000000000000" pitchFamily="49" charset="-128"/>
          </a:endParaRPr>
        </a:p>
        <a:p>
          <a:pPr algn="l" rtl="0">
            <a:defRPr sz="1000"/>
          </a:pPr>
          <a:r>
            <a:rPr lang="ja-JP" altLang="en-US" sz="900" b="0" i="0" u="none" strike="noStrike" baseline="0">
              <a:solidFill>
                <a:srgbClr val="333333"/>
              </a:solidFill>
              <a:latin typeface="BIZ UDゴシック" panose="020B0400000000000000" pitchFamily="49" charset="-128"/>
              <a:ea typeface="BIZ UDゴシック" panose="020B0400000000000000" pitchFamily="49" charset="-128"/>
            </a:rPr>
            <a:t>　（６）専従者給与がある場合</a:t>
          </a:r>
        </a:p>
        <a:p>
          <a:pPr algn="l" rtl="0">
            <a:defRPr sz="1000"/>
          </a:pPr>
          <a:r>
            <a:rPr lang="ja-JP" altLang="en-US" sz="900" b="0" i="0" u="none" strike="noStrike" baseline="0">
              <a:solidFill>
                <a:srgbClr val="333333"/>
              </a:solidFill>
              <a:latin typeface="BIZ UDゴシック" panose="020B0400000000000000" pitchFamily="49" charset="-128"/>
              <a:ea typeface="BIZ UDゴシック" panose="020B0400000000000000" pitchFamily="49" charset="-128"/>
            </a:rPr>
            <a:t>　（７）専従者控除を必要経費に算入している場合</a:t>
          </a:r>
          <a:endParaRPr lang="en-US" altLang="ja-JP" sz="900" b="0" i="0" u="none" strike="noStrike" baseline="0">
            <a:solidFill>
              <a:srgbClr val="333333"/>
            </a:solidFill>
            <a:latin typeface="BIZ UDゴシック" panose="020B0400000000000000" pitchFamily="49" charset="-128"/>
            <a:ea typeface="BIZ UDゴシック" panose="020B0400000000000000" pitchFamily="49" charset="-128"/>
          </a:endParaRPr>
        </a:p>
        <a:p>
          <a:pPr algn="l" rtl="0">
            <a:defRPr sz="1000"/>
          </a:pPr>
          <a:r>
            <a:rPr lang="ja-JP" altLang="en-US" sz="900" b="0" i="0" u="none" strike="noStrike" baseline="0">
              <a:solidFill>
                <a:srgbClr val="333333"/>
              </a:solidFill>
              <a:latin typeface="BIZ UDゴシック" panose="020B0400000000000000" pitchFamily="49" charset="-128"/>
              <a:ea typeface="BIZ UDゴシック" panose="020B0400000000000000" pitchFamily="49" charset="-128"/>
            </a:rPr>
            <a:t>　（８）総所得金額に分離課税所得（土地・株式等の譲渡所得等）がある場合</a:t>
          </a:r>
        </a:p>
      </xdr:txBody>
    </xdr:sp>
    <xdr:clientData/>
  </xdr:twoCellAnchor>
  <mc:AlternateContent xmlns:mc="http://schemas.openxmlformats.org/markup-compatibility/2006">
    <mc:Choice xmlns:a14="http://schemas.microsoft.com/office/drawing/2010/main" Requires="a14">
      <xdr:twoCellAnchor editAs="oneCell">
        <xdr:from>
          <xdr:col>45</xdr:col>
          <xdr:colOff>95250</xdr:colOff>
          <xdr:row>25</xdr:row>
          <xdr:rowOff>85725</xdr:rowOff>
        </xdr:from>
        <xdr:to>
          <xdr:col>46</xdr:col>
          <xdr:colOff>190500</xdr:colOff>
          <xdr:row>25</xdr:row>
          <xdr:rowOff>304800</xdr:rowOff>
        </xdr:to>
        <xdr:sp macro="" textlink="">
          <xdr:nvSpPr>
            <xdr:cNvPr id="5133" name="Check Box 13" hidden="1">
              <a:extLst>
                <a:ext uri="{63B3BB69-23CF-44E3-9099-C40C66FF867C}">
                  <a14:compatExt spid="_x0000_s5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95250</xdr:colOff>
          <xdr:row>26</xdr:row>
          <xdr:rowOff>85725</xdr:rowOff>
        </xdr:from>
        <xdr:to>
          <xdr:col>46</xdr:col>
          <xdr:colOff>190500</xdr:colOff>
          <xdr:row>26</xdr:row>
          <xdr:rowOff>304800</xdr:rowOff>
        </xdr:to>
        <xdr:sp macro="" textlink="">
          <xdr:nvSpPr>
            <xdr:cNvPr id="5134" name="Check Box 14" hidden="1">
              <a:extLst>
                <a:ext uri="{63B3BB69-23CF-44E3-9099-C40C66FF867C}">
                  <a14:compatExt spid="_x0000_s5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95250</xdr:colOff>
          <xdr:row>27</xdr:row>
          <xdr:rowOff>85725</xdr:rowOff>
        </xdr:from>
        <xdr:to>
          <xdr:col>46</xdr:col>
          <xdr:colOff>190500</xdr:colOff>
          <xdr:row>27</xdr:row>
          <xdr:rowOff>304800</xdr:rowOff>
        </xdr:to>
        <xdr:sp macro="" textlink="">
          <xdr:nvSpPr>
            <xdr:cNvPr id="5135" name="Check Box 15" hidden="1">
              <a:extLst>
                <a:ext uri="{63B3BB69-23CF-44E3-9099-C40C66FF867C}">
                  <a14:compatExt spid="_x0000_s5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95250</xdr:colOff>
          <xdr:row>28</xdr:row>
          <xdr:rowOff>85725</xdr:rowOff>
        </xdr:from>
        <xdr:to>
          <xdr:col>46</xdr:col>
          <xdr:colOff>190500</xdr:colOff>
          <xdr:row>28</xdr:row>
          <xdr:rowOff>304800</xdr:rowOff>
        </xdr:to>
        <xdr:sp macro="" textlink="">
          <xdr:nvSpPr>
            <xdr:cNvPr id="5136" name="Check Box 16" hidden="1">
              <a:extLst>
                <a:ext uri="{63B3BB69-23CF-44E3-9099-C40C66FF867C}">
                  <a14:compatExt spid="_x0000_s51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95250</xdr:colOff>
          <xdr:row>29</xdr:row>
          <xdr:rowOff>85725</xdr:rowOff>
        </xdr:from>
        <xdr:to>
          <xdr:col>46</xdr:col>
          <xdr:colOff>190500</xdr:colOff>
          <xdr:row>29</xdr:row>
          <xdr:rowOff>304800</xdr:rowOff>
        </xdr:to>
        <xdr:sp macro="" textlink="">
          <xdr:nvSpPr>
            <xdr:cNvPr id="5137" name="Check Box 17" hidden="1">
              <a:extLst>
                <a:ext uri="{63B3BB69-23CF-44E3-9099-C40C66FF867C}">
                  <a14:compatExt spid="_x0000_s5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95250</xdr:colOff>
          <xdr:row>24</xdr:row>
          <xdr:rowOff>85725</xdr:rowOff>
        </xdr:from>
        <xdr:to>
          <xdr:col>46</xdr:col>
          <xdr:colOff>190500</xdr:colOff>
          <xdr:row>24</xdr:row>
          <xdr:rowOff>304800</xdr:rowOff>
        </xdr:to>
        <xdr:sp macro="" textlink="">
          <xdr:nvSpPr>
            <xdr:cNvPr id="5138" name="Check Box 18" hidden="1">
              <a:extLst>
                <a:ext uri="{63B3BB69-23CF-44E3-9099-C40C66FF867C}">
                  <a14:compatExt spid="_x0000_s5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0</xdr:colOff>
      <xdr:row>3</xdr:row>
      <xdr:rowOff>0</xdr:rowOff>
    </xdr:from>
    <xdr:to>
      <xdr:col>0</xdr:col>
      <xdr:colOff>0</xdr:colOff>
      <xdr:row>3</xdr:row>
      <xdr:rowOff>0</xdr:rowOff>
    </xdr:to>
    <xdr:sp macro="" textlink="">
      <xdr:nvSpPr>
        <xdr:cNvPr id="2" name="AutoShape 1"/>
        <xdr:cNvSpPr>
          <a:spLocks/>
        </xdr:cNvSpPr>
      </xdr:nvSpPr>
      <xdr:spPr bwMode="auto">
        <a:xfrm>
          <a:off x="0" y="942975"/>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3</xdr:row>
      <xdr:rowOff>0</xdr:rowOff>
    </xdr:from>
    <xdr:to>
      <xdr:col>0</xdr:col>
      <xdr:colOff>0</xdr:colOff>
      <xdr:row>3</xdr:row>
      <xdr:rowOff>0</xdr:rowOff>
    </xdr:to>
    <xdr:sp macro="" textlink="">
      <xdr:nvSpPr>
        <xdr:cNvPr id="3" name="AutoShape 4"/>
        <xdr:cNvSpPr>
          <a:spLocks/>
        </xdr:cNvSpPr>
      </xdr:nvSpPr>
      <xdr:spPr bwMode="auto">
        <a:xfrm>
          <a:off x="0" y="942975"/>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57150</xdr:colOff>
      <xdr:row>6</xdr:row>
      <xdr:rowOff>0</xdr:rowOff>
    </xdr:from>
    <xdr:to>
      <xdr:col>9</xdr:col>
      <xdr:colOff>317500</xdr:colOff>
      <xdr:row>11</xdr:row>
      <xdr:rowOff>279400</xdr:rowOff>
    </xdr:to>
    <xdr:sp macro="" textlink="">
      <xdr:nvSpPr>
        <xdr:cNvPr id="5" name="AutoShape 138"/>
        <xdr:cNvSpPr>
          <a:spLocks/>
        </xdr:cNvSpPr>
      </xdr:nvSpPr>
      <xdr:spPr bwMode="auto">
        <a:xfrm>
          <a:off x="5962650" y="1762125"/>
          <a:ext cx="260350" cy="1708150"/>
        </a:xfrm>
        <a:prstGeom prst="rightBrace">
          <a:avLst>
            <a:gd name="adj1" fmla="val 47315"/>
            <a:gd name="adj2" fmla="val 50000"/>
          </a:avLst>
        </a:prstGeom>
        <a:noFill/>
        <a:ln w="9525">
          <a:solidFill>
            <a:srgbClr val="969696"/>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14</xdr:col>
      <xdr:colOff>19050</xdr:colOff>
      <xdr:row>14</xdr:row>
      <xdr:rowOff>28575</xdr:rowOff>
    </xdr:from>
    <xdr:to>
      <xdr:col>14</xdr:col>
      <xdr:colOff>165100</xdr:colOff>
      <xdr:row>16</xdr:row>
      <xdr:rowOff>266700</xdr:rowOff>
    </xdr:to>
    <xdr:sp macro="" textlink="">
      <xdr:nvSpPr>
        <xdr:cNvPr id="10" name="AutoShape 138"/>
        <xdr:cNvSpPr>
          <a:spLocks/>
        </xdr:cNvSpPr>
      </xdr:nvSpPr>
      <xdr:spPr bwMode="auto">
        <a:xfrm>
          <a:off x="8972550" y="3619500"/>
          <a:ext cx="146050" cy="809625"/>
        </a:xfrm>
        <a:prstGeom prst="rightBrace">
          <a:avLst>
            <a:gd name="adj1" fmla="val 47402"/>
            <a:gd name="adj2" fmla="val 50000"/>
          </a:avLst>
        </a:prstGeom>
        <a:noFill/>
        <a:ln w="9525">
          <a:solidFill>
            <a:srgbClr val="969696"/>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14</xdr:col>
      <xdr:colOff>19050</xdr:colOff>
      <xdr:row>19</xdr:row>
      <xdr:rowOff>38100</xdr:rowOff>
    </xdr:from>
    <xdr:to>
      <xdr:col>14</xdr:col>
      <xdr:colOff>171450</xdr:colOff>
      <xdr:row>20</xdr:row>
      <xdr:rowOff>257175</xdr:rowOff>
    </xdr:to>
    <xdr:sp macro="" textlink="">
      <xdr:nvSpPr>
        <xdr:cNvPr id="11" name="AutoShape 138"/>
        <xdr:cNvSpPr>
          <a:spLocks/>
        </xdr:cNvSpPr>
      </xdr:nvSpPr>
      <xdr:spPr bwMode="auto">
        <a:xfrm>
          <a:off x="8972550" y="4600575"/>
          <a:ext cx="152400" cy="504825"/>
        </a:xfrm>
        <a:prstGeom prst="rightBrace">
          <a:avLst>
            <a:gd name="adj1" fmla="val 47402"/>
            <a:gd name="adj2" fmla="val 50000"/>
          </a:avLst>
        </a:prstGeom>
        <a:noFill/>
        <a:ln w="9525">
          <a:solidFill>
            <a:srgbClr val="969696"/>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101600</xdr:colOff>
      <xdr:row>27</xdr:row>
      <xdr:rowOff>25400</xdr:rowOff>
    </xdr:from>
    <xdr:to>
      <xdr:col>9</xdr:col>
      <xdr:colOff>266700</xdr:colOff>
      <xdr:row>33</xdr:row>
      <xdr:rowOff>0</xdr:rowOff>
    </xdr:to>
    <xdr:sp macro="" textlink="">
      <xdr:nvSpPr>
        <xdr:cNvPr id="16" name="AutoShape 138"/>
        <xdr:cNvSpPr>
          <a:spLocks/>
        </xdr:cNvSpPr>
      </xdr:nvSpPr>
      <xdr:spPr bwMode="auto">
        <a:xfrm>
          <a:off x="6007100" y="7188200"/>
          <a:ext cx="165100" cy="1689100"/>
        </a:xfrm>
        <a:prstGeom prst="rightBrace">
          <a:avLst>
            <a:gd name="adj1" fmla="val 46213"/>
            <a:gd name="adj2" fmla="val 50000"/>
          </a:avLst>
        </a:prstGeom>
        <a:noFill/>
        <a:ln w="9525">
          <a:solidFill>
            <a:srgbClr val="969696"/>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14</xdr:col>
      <xdr:colOff>28575</xdr:colOff>
      <xdr:row>35</xdr:row>
      <xdr:rowOff>38100</xdr:rowOff>
    </xdr:from>
    <xdr:to>
      <xdr:col>14</xdr:col>
      <xdr:colOff>177800</xdr:colOff>
      <xdr:row>37</xdr:row>
      <xdr:rowOff>254000</xdr:rowOff>
    </xdr:to>
    <xdr:sp macro="" textlink="">
      <xdr:nvSpPr>
        <xdr:cNvPr id="17" name="AutoShape 138"/>
        <xdr:cNvSpPr>
          <a:spLocks/>
        </xdr:cNvSpPr>
      </xdr:nvSpPr>
      <xdr:spPr bwMode="auto">
        <a:xfrm>
          <a:off x="8982075" y="9029700"/>
          <a:ext cx="149225" cy="787400"/>
        </a:xfrm>
        <a:prstGeom prst="rightBrace">
          <a:avLst>
            <a:gd name="adj1" fmla="val 47402"/>
            <a:gd name="adj2" fmla="val 50000"/>
          </a:avLst>
        </a:prstGeom>
        <a:noFill/>
        <a:ln w="9525">
          <a:solidFill>
            <a:srgbClr val="969696"/>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14</xdr:col>
      <xdr:colOff>19050</xdr:colOff>
      <xdr:row>40</xdr:row>
      <xdr:rowOff>38100</xdr:rowOff>
    </xdr:from>
    <xdr:to>
      <xdr:col>14</xdr:col>
      <xdr:colOff>171450</xdr:colOff>
      <xdr:row>41</xdr:row>
      <xdr:rowOff>257175</xdr:rowOff>
    </xdr:to>
    <xdr:sp macro="" textlink="">
      <xdr:nvSpPr>
        <xdr:cNvPr id="18" name="AutoShape 138"/>
        <xdr:cNvSpPr>
          <a:spLocks/>
        </xdr:cNvSpPr>
      </xdr:nvSpPr>
      <xdr:spPr bwMode="auto">
        <a:xfrm>
          <a:off x="8972550" y="10001250"/>
          <a:ext cx="152400" cy="504825"/>
        </a:xfrm>
        <a:prstGeom prst="rightBrace">
          <a:avLst>
            <a:gd name="adj1" fmla="val 47402"/>
            <a:gd name="adj2" fmla="val 50000"/>
          </a:avLst>
        </a:prstGeom>
        <a:noFill/>
        <a:ln w="9525">
          <a:solidFill>
            <a:srgbClr val="969696"/>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63500</xdr:colOff>
      <xdr:row>48</xdr:row>
      <xdr:rowOff>0</xdr:rowOff>
    </xdr:from>
    <xdr:to>
      <xdr:col>9</xdr:col>
      <xdr:colOff>254000</xdr:colOff>
      <xdr:row>53</xdr:row>
      <xdr:rowOff>254000</xdr:rowOff>
    </xdr:to>
    <xdr:sp macro="" textlink="">
      <xdr:nvSpPr>
        <xdr:cNvPr id="23" name="AutoShape 138"/>
        <xdr:cNvSpPr>
          <a:spLocks/>
        </xdr:cNvSpPr>
      </xdr:nvSpPr>
      <xdr:spPr bwMode="auto">
        <a:xfrm>
          <a:off x="5969000" y="12563475"/>
          <a:ext cx="190500" cy="1682750"/>
        </a:xfrm>
        <a:prstGeom prst="rightBrace">
          <a:avLst>
            <a:gd name="adj1" fmla="val 47315"/>
            <a:gd name="adj2" fmla="val 50000"/>
          </a:avLst>
        </a:prstGeom>
        <a:noFill/>
        <a:ln w="9525">
          <a:solidFill>
            <a:srgbClr val="969696"/>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14</xdr:col>
      <xdr:colOff>19050</xdr:colOff>
      <xdr:row>56</xdr:row>
      <xdr:rowOff>38100</xdr:rowOff>
    </xdr:from>
    <xdr:to>
      <xdr:col>14</xdr:col>
      <xdr:colOff>171450</xdr:colOff>
      <xdr:row>57</xdr:row>
      <xdr:rowOff>257175</xdr:rowOff>
    </xdr:to>
    <xdr:sp macro="" textlink="">
      <xdr:nvSpPr>
        <xdr:cNvPr id="24" name="AutoShape 138"/>
        <xdr:cNvSpPr>
          <a:spLocks/>
        </xdr:cNvSpPr>
      </xdr:nvSpPr>
      <xdr:spPr bwMode="auto">
        <a:xfrm>
          <a:off x="8972550" y="14430375"/>
          <a:ext cx="152400" cy="504825"/>
        </a:xfrm>
        <a:prstGeom prst="rightBrace">
          <a:avLst>
            <a:gd name="adj1" fmla="val 47402"/>
            <a:gd name="adj2" fmla="val 50000"/>
          </a:avLst>
        </a:prstGeom>
        <a:noFill/>
        <a:ln w="9525">
          <a:solidFill>
            <a:srgbClr val="969696"/>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14</xdr:col>
      <xdr:colOff>9525</xdr:colOff>
      <xdr:row>60</xdr:row>
      <xdr:rowOff>47625</xdr:rowOff>
    </xdr:from>
    <xdr:to>
      <xdr:col>14</xdr:col>
      <xdr:colOff>161925</xdr:colOff>
      <xdr:row>61</xdr:row>
      <xdr:rowOff>266700</xdr:rowOff>
    </xdr:to>
    <xdr:sp macro="" textlink="">
      <xdr:nvSpPr>
        <xdr:cNvPr id="25" name="AutoShape 138"/>
        <xdr:cNvSpPr>
          <a:spLocks/>
        </xdr:cNvSpPr>
      </xdr:nvSpPr>
      <xdr:spPr bwMode="auto">
        <a:xfrm>
          <a:off x="8963025" y="15125700"/>
          <a:ext cx="152400" cy="504825"/>
        </a:xfrm>
        <a:prstGeom prst="rightBrace">
          <a:avLst>
            <a:gd name="adj1" fmla="val 47402"/>
            <a:gd name="adj2" fmla="val 50000"/>
          </a:avLst>
        </a:prstGeom>
        <a:noFill/>
        <a:ln w="9525">
          <a:solidFill>
            <a:srgbClr val="969696"/>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38100</xdr:colOff>
      <xdr:row>8</xdr:row>
      <xdr:rowOff>180975</xdr:rowOff>
    </xdr:from>
    <xdr:to>
      <xdr:col>11</xdr:col>
      <xdr:colOff>238125</xdr:colOff>
      <xdr:row>9</xdr:row>
      <xdr:rowOff>114300</xdr:rowOff>
    </xdr:to>
    <xdr:sp macro="" textlink="">
      <xdr:nvSpPr>
        <xdr:cNvPr id="27" name="Rectangle 902"/>
        <xdr:cNvSpPr>
          <a:spLocks noChangeArrowheads="1"/>
        </xdr:cNvSpPr>
      </xdr:nvSpPr>
      <xdr:spPr bwMode="auto">
        <a:xfrm>
          <a:off x="7562850" y="2514600"/>
          <a:ext cx="200025" cy="219075"/>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a:t>
          </a:r>
        </a:p>
      </xdr:txBody>
    </xdr:sp>
    <xdr:clientData/>
  </xdr:twoCellAnchor>
  <xdr:twoCellAnchor>
    <xdr:from>
      <xdr:col>13</xdr:col>
      <xdr:colOff>152400</xdr:colOff>
      <xdr:row>5</xdr:row>
      <xdr:rowOff>282574</xdr:rowOff>
    </xdr:from>
    <xdr:to>
      <xdr:col>15</xdr:col>
      <xdr:colOff>12700</xdr:colOff>
      <xdr:row>12</xdr:row>
      <xdr:rowOff>0</xdr:rowOff>
    </xdr:to>
    <xdr:sp macro="" textlink="">
      <xdr:nvSpPr>
        <xdr:cNvPr id="28" name="AutoShape 138"/>
        <xdr:cNvSpPr>
          <a:spLocks/>
        </xdr:cNvSpPr>
      </xdr:nvSpPr>
      <xdr:spPr bwMode="auto">
        <a:xfrm>
          <a:off x="8905875" y="1758949"/>
          <a:ext cx="260350" cy="1717676"/>
        </a:xfrm>
        <a:prstGeom prst="rightBrace">
          <a:avLst>
            <a:gd name="adj1" fmla="val 47315"/>
            <a:gd name="adj2" fmla="val 50000"/>
          </a:avLst>
        </a:prstGeom>
        <a:noFill/>
        <a:ln w="9525">
          <a:solidFill>
            <a:srgbClr val="969696"/>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14</xdr:col>
      <xdr:colOff>0</xdr:colOff>
      <xdr:row>27</xdr:row>
      <xdr:rowOff>0</xdr:rowOff>
    </xdr:from>
    <xdr:to>
      <xdr:col>15</xdr:col>
      <xdr:colOff>25400</xdr:colOff>
      <xdr:row>32</xdr:row>
      <xdr:rowOff>266700</xdr:rowOff>
    </xdr:to>
    <xdr:sp macro="" textlink="">
      <xdr:nvSpPr>
        <xdr:cNvPr id="29" name="AutoShape 138"/>
        <xdr:cNvSpPr>
          <a:spLocks/>
        </xdr:cNvSpPr>
      </xdr:nvSpPr>
      <xdr:spPr bwMode="auto">
        <a:xfrm>
          <a:off x="8953500" y="7162800"/>
          <a:ext cx="225425" cy="1695450"/>
        </a:xfrm>
        <a:prstGeom prst="rightBrace">
          <a:avLst>
            <a:gd name="adj1" fmla="val 47315"/>
            <a:gd name="adj2" fmla="val 50000"/>
          </a:avLst>
        </a:prstGeom>
        <a:noFill/>
        <a:ln w="9525">
          <a:solidFill>
            <a:srgbClr val="969696"/>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38100</xdr:colOff>
      <xdr:row>29</xdr:row>
      <xdr:rowOff>190500</xdr:rowOff>
    </xdr:from>
    <xdr:to>
      <xdr:col>11</xdr:col>
      <xdr:colOff>238125</xdr:colOff>
      <xdr:row>30</xdr:row>
      <xdr:rowOff>123825</xdr:rowOff>
    </xdr:to>
    <xdr:sp macro="" textlink="">
      <xdr:nvSpPr>
        <xdr:cNvPr id="30" name="Rectangle 907"/>
        <xdr:cNvSpPr>
          <a:spLocks noChangeArrowheads="1"/>
        </xdr:cNvSpPr>
      </xdr:nvSpPr>
      <xdr:spPr bwMode="auto">
        <a:xfrm>
          <a:off x="7562850" y="7924800"/>
          <a:ext cx="200025" cy="219075"/>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a:t>
          </a:r>
        </a:p>
      </xdr:txBody>
    </xdr:sp>
    <xdr:clientData/>
  </xdr:twoCellAnchor>
  <xdr:twoCellAnchor>
    <xdr:from>
      <xdr:col>13</xdr:col>
      <xdr:colOff>161925</xdr:colOff>
      <xdr:row>48</xdr:row>
      <xdr:rowOff>12700</xdr:rowOff>
    </xdr:from>
    <xdr:to>
      <xdr:col>15</xdr:col>
      <xdr:colOff>12700</xdr:colOff>
      <xdr:row>54</xdr:row>
      <xdr:rowOff>1</xdr:rowOff>
    </xdr:to>
    <xdr:sp macro="" textlink="">
      <xdr:nvSpPr>
        <xdr:cNvPr id="31" name="AutoShape 138"/>
        <xdr:cNvSpPr>
          <a:spLocks/>
        </xdr:cNvSpPr>
      </xdr:nvSpPr>
      <xdr:spPr bwMode="auto">
        <a:xfrm>
          <a:off x="8915400" y="12576175"/>
          <a:ext cx="250825" cy="1701801"/>
        </a:xfrm>
        <a:prstGeom prst="rightBrace">
          <a:avLst>
            <a:gd name="adj1" fmla="val 47315"/>
            <a:gd name="adj2" fmla="val 50000"/>
          </a:avLst>
        </a:prstGeom>
        <a:noFill/>
        <a:ln w="9525">
          <a:solidFill>
            <a:srgbClr val="969696"/>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47625</xdr:colOff>
      <xdr:row>50</xdr:row>
      <xdr:rowOff>190500</xdr:rowOff>
    </xdr:from>
    <xdr:to>
      <xdr:col>11</xdr:col>
      <xdr:colOff>247650</xdr:colOff>
      <xdr:row>51</xdr:row>
      <xdr:rowOff>123825</xdr:rowOff>
    </xdr:to>
    <xdr:sp macro="" textlink="">
      <xdr:nvSpPr>
        <xdr:cNvPr id="32" name="Rectangle 910"/>
        <xdr:cNvSpPr>
          <a:spLocks noChangeArrowheads="1"/>
        </xdr:cNvSpPr>
      </xdr:nvSpPr>
      <xdr:spPr bwMode="auto">
        <a:xfrm>
          <a:off x="7572375" y="13325475"/>
          <a:ext cx="200025" cy="219075"/>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CX58"/>
  <sheetViews>
    <sheetView tabSelected="1" view="pageBreakPreview" zoomScale="80" zoomScaleNormal="70" zoomScaleSheetLayoutView="80" workbookViewId="0">
      <selection activeCell="G25" sqref="G25:J25"/>
    </sheetView>
  </sheetViews>
  <sheetFormatPr defaultRowHeight="13.5" x14ac:dyDescent="0.15"/>
  <cols>
    <col min="1" max="2" width="1.125" customWidth="1"/>
    <col min="3" max="50" width="2.75" customWidth="1"/>
    <col min="51" max="52" width="1.125" customWidth="1"/>
    <col min="53" max="53" width="2.75" customWidth="1"/>
    <col min="54" max="105" width="2.5" customWidth="1"/>
  </cols>
  <sheetData>
    <row r="1" spans="1:102" ht="14.25" thickBot="1" x14ac:dyDescent="0.2">
      <c r="A1" s="199"/>
      <c r="B1" s="199"/>
      <c r="C1" s="199"/>
      <c r="D1" s="199"/>
      <c r="E1" s="199"/>
      <c r="F1" s="199"/>
      <c r="G1" s="199"/>
      <c r="H1" s="199"/>
      <c r="I1" s="199"/>
      <c r="J1" s="199"/>
      <c r="K1" s="199"/>
      <c r="L1" s="199"/>
      <c r="M1" s="199"/>
      <c r="N1" s="199"/>
      <c r="O1" s="199"/>
      <c r="P1" s="199"/>
      <c r="Q1" s="199"/>
      <c r="R1" s="199"/>
      <c r="S1" s="199"/>
      <c r="T1" s="199"/>
      <c r="U1" s="199"/>
      <c r="V1" s="199"/>
      <c r="W1" s="199"/>
      <c r="X1" s="199"/>
      <c r="Y1" s="199"/>
      <c r="Z1" s="199"/>
      <c r="AA1" s="199"/>
      <c r="AB1" s="199"/>
      <c r="AC1" s="199"/>
      <c r="AD1" s="199"/>
      <c r="AE1" s="199"/>
      <c r="AF1" s="199"/>
      <c r="AG1" s="199"/>
      <c r="AH1" s="199"/>
      <c r="AI1" s="199"/>
      <c r="AJ1" s="199"/>
      <c r="AK1" s="199"/>
      <c r="AL1" s="199"/>
      <c r="AM1" s="199"/>
      <c r="AN1" s="199"/>
      <c r="AO1" s="199"/>
      <c r="AP1" s="199"/>
      <c r="AQ1" s="199"/>
      <c r="AR1" s="199"/>
      <c r="AS1" s="199"/>
      <c r="AT1" s="199"/>
      <c r="AU1" s="199"/>
      <c r="AV1" s="199"/>
      <c r="AW1" s="199"/>
      <c r="AX1" s="199"/>
      <c r="AY1" s="199"/>
      <c r="AZ1" s="199"/>
    </row>
    <row r="2" spans="1:102" ht="30" customHeight="1" thickBot="1" x14ac:dyDescent="0.2">
      <c r="A2" s="199"/>
      <c r="B2" s="199"/>
      <c r="C2" s="273" t="s">
        <v>131</v>
      </c>
      <c r="D2" s="274"/>
      <c r="E2" s="274"/>
      <c r="F2" s="274"/>
      <c r="G2" s="274"/>
      <c r="H2" s="274"/>
      <c r="I2" s="274"/>
      <c r="J2" s="274"/>
      <c r="K2" s="274"/>
      <c r="L2" s="274"/>
      <c r="M2" s="274"/>
      <c r="N2" s="274"/>
      <c r="O2" s="274"/>
      <c r="P2" s="274"/>
      <c r="Q2" s="274"/>
      <c r="R2" s="274"/>
      <c r="S2" s="274"/>
      <c r="T2" s="274"/>
      <c r="U2" s="274"/>
      <c r="V2" s="274"/>
      <c r="W2" s="274"/>
      <c r="X2" s="274"/>
      <c r="Y2" s="274"/>
      <c r="Z2" s="274"/>
      <c r="AA2" s="274"/>
      <c r="AB2" s="274"/>
      <c r="AC2" s="274"/>
      <c r="AD2" s="274"/>
      <c r="AE2" s="274"/>
      <c r="AF2" s="274"/>
      <c r="AG2" s="274"/>
      <c r="AH2" s="274"/>
      <c r="AI2" s="274"/>
      <c r="AJ2" s="274"/>
      <c r="AK2" s="274"/>
      <c r="AL2" s="274"/>
      <c r="AM2" s="274"/>
      <c r="AN2" s="274"/>
      <c r="AO2" s="274"/>
      <c r="AP2" s="274"/>
      <c r="AQ2" s="274"/>
      <c r="AR2" s="274"/>
      <c r="AS2" s="274"/>
      <c r="AT2" s="274"/>
      <c r="AU2" s="274"/>
      <c r="AV2" s="274"/>
      <c r="AW2" s="274"/>
      <c r="AX2" s="275"/>
      <c r="AY2" s="199"/>
      <c r="AZ2" s="199"/>
      <c r="BC2" s="168"/>
      <c r="BD2" s="168"/>
      <c r="BE2" s="168"/>
      <c r="BF2" s="168"/>
      <c r="BG2" s="168"/>
      <c r="BH2" s="168"/>
      <c r="BI2" s="168"/>
      <c r="BJ2" s="168"/>
      <c r="BK2" s="168"/>
      <c r="BL2" s="168"/>
      <c r="BM2" s="168"/>
      <c r="BN2" s="168"/>
      <c r="BO2" s="168"/>
      <c r="BP2" s="168"/>
      <c r="BQ2" s="168"/>
      <c r="BR2" s="168"/>
      <c r="BS2" s="168"/>
      <c r="BT2" s="168"/>
      <c r="BU2" s="168"/>
      <c r="BV2" s="168"/>
      <c r="BW2" s="168"/>
      <c r="BX2" s="168"/>
      <c r="BY2" s="168"/>
      <c r="BZ2" s="168"/>
      <c r="CA2" s="168"/>
      <c r="CB2" s="168"/>
      <c r="CC2" s="168"/>
      <c r="CD2" s="168"/>
      <c r="CE2" s="168"/>
      <c r="CF2" s="168"/>
      <c r="CG2" s="168"/>
      <c r="CH2" s="168"/>
      <c r="CI2" s="168"/>
      <c r="CJ2" s="168"/>
      <c r="CK2" s="168"/>
      <c r="CL2" s="168"/>
      <c r="CM2" s="168"/>
      <c r="CN2" s="168"/>
      <c r="CO2" s="168"/>
      <c r="CP2" s="168"/>
      <c r="CQ2" s="168"/>
      <c r="CR2" s="168"/>
      <c r="CS2" s="168"/>
      <c r="CT2" s="168"/>
      <c r="CU2" s="168"/>
      <c r="CV2" s="168"/>
      <c r="CW2" s="168"/>
      <c r="CX2" s="168"/>
    </row>
    <row r="3" spans="1:102" x14ac:dyDescent="0.15">
      <c r="A3" s="199"/>
      <c r="B3" s="199"/>
      <c r="C3" s="199"/>
      <c r="D3" s="199"/>
      <c r="E3" s="199"/>
      <c r="F3" s="199"/>
      <c r="G3" s="199"/>
      <c r="H3" s="199"/>
      <c r="I3" s="199"/>
      <c r="J3" s="199"/>
      <c r="K3" s="199"/>
      <c r="L3" s="199"/>
      <c r="M3" s="199"/>
      <c r="N3" s="199"/>
      <c r="O3" s="199"/>
      <c r="P3" s="199"/>
      <c r="Q3" s="199"/>
      <c r="R3" s="199"/>
      <c r="S3" s="199"/>
      <c r="T3" s="199"/>
      <c r="U3" s="199"/>
      <c r="V3" s="199"/>
      <c r="W3" s="199"/>
      <c r="X3" s="199"/>
      <c r="Y3" s="199"/>
      <c r="Z3" s="199"/>
      <c r="AA3" s="199"/>
      <c r="AB3" s="199"/>
      <c r="AC3" s="199"/>
      <c r="AD3" s="199"/>
      <c r="AE3" s="199"/>
      <c r="AF3" s="199"/>
      <c r="AG3" s="199"/>
      <c r="AH3" s="199"/>
      <c r="AI3" s="199"/>
      <c r="AJ3" s="199"/>
      <c r="AK3" s="199"/>
      <c r="AL3" s="199"/>
      <c r="AM3" s="199"/>
      <c r="AN3" s="199"/>
      <c r="AO3" s="199"/>
      <c r="AP3" s="199"/>
      <c r="AQ3" s="199"/>
      <c r="AR3" s="199"/>
      <c r="AS3" s="199"/>
      <c r="AT3" s="199"/>
      <c r="AU3" s="199"/>
      <c r="AV3" s="199"/>
      <c r="AW3" s="199"/>
      <c r="AX3" s="199"/>
      <c r="AY3" s="199"/>
      <c r="AZ3" s="199"/>
    </row>
    <row r="4" spans="1:102" x14ac:dyDescent="0.15">
      <c r="A4" s="199"/>
      <c r="B4" s="199"/>
      <c r="C4" s="199" t="s">
        <v>155</v>
      </c>
      <c r="D4" s="199"/>
      <c r="E4" s="199"/>
      <c r="F4" s="199"/>
      <c r="G4" s="199"/>
      <c r="H4" s="199"/>
      <c r="I4" s="199"/>
      <c r="J4" s="199"/>
      <c r="K4" s="199"/>
      <c r="L4" s="199"/>
      <c r="M4" s="199"/>
      <c r="N4" s="199"/>
      <c r="O4" s="199"/>
      <c r="P4" s="199"/>
      <c r="Q4" s="199"/>
      <c r="R4" s="199"/>
      <c r="S4" s="199"/>
      <c r="T4" s="199"/>
      <c r="U4" s="199"/>
      <c r="V4" s="199"/>
      <c r="W4" s="199"/>
      <c r="X4" s="199"/>
      <c r="Y4" s="199"/>
      <c r="Z4" s="199"/>
      <c r="AA4" s="199"/>
      <c r="AB4" s="199"/>
      <c r="AC4" s="199"/>
      <c r="AD4" s="199"/>
      <c r="AE4" s="199"/>
      <c r="AF4" s="199"/>
      <c r="AG4" s="199"/>
      <c r="AH4" s="199"/>
      <c r="AI4" s="199"/>
      <c r="AJ4" s="199"/>
      <c r="AK4" s="199"/>
      <c r="AL4" s="199"/>
      <c r="AM4" s="199"/>
      <c r="AN4" s="199"/>
      <c r="AO4" s="199"/>
      <c r="AP4" s="199"/>
      <c r="AQ4" s="199"/>
      <c r="AR4" s="199"/>
      <c r="AS4" s="199"/>
      <c r="AT4" s="199"/>
      <c r="AU4" s="199"/>
      <c r="AV4" s="199"/>
      <c r="AW4" s="199"/>
      <c r="AX4" s="199"/>
      <c r="AY4" s="199"/>
      <c r="AZ4" s="199"/>
    </row>
    <row r="5" spans="1:102" x14ac:dyDescent="0.15">
      <c r="A5" s="199"/>
      <c r="B5" s="199"/>
      <c r="C5" s="199" t="s">
        <v>79</v>
      </c>
      <c r="D5" s="199"/>
      <c r="E5" s="199"/>
      <c r="F5" s="199"/>
      <c r="G5" s="199"/>
      <c r="H5" s="199"/>
      <c r="I5" s="199"/>
      <c r="J5" s="199"/>
      <c r="K5" s="199"/>
      <c r="L5" s="199"/>
      <c r="M5" s="199"/>
      <c r="N5" s="199"/>
      <c r="O5" s="199"/>
      <c r="P5" s="199"/>
      <c r="Q5" s="199"/>
      <c r="R5" s="199"/>
      <c r="S5" s="199"/>
      <c r="T5" s="199"/>
      <c r="U5" s="199"/>
      <c r="V5" s="199"/>
      <c r="W5" s="199"/>
      <c r="X5" s="199"/>
      <c r="Y5" s="199"/>
      <c r="Z5" s="199"/>
      <c r="AA5" s="199"/>
      <c r="AB5" s="199"/>
      <c r="AC5" s="199"/>
      <c r="AD5" s="199"/>
      <c r="AE5" s="199"/>
      <c r="AF5" s="199"/>
      <c r="AG5" s="199"/>
      <c r="AH5" s="199"/>
      <c r="AI5" s="199"/>
      <c r="AJ5" s="199"/>
      <c r="AK5" s="199"/>
      <c r="AL5" s="199"/>
      <c r="AM5" s="199"/>
      <c r="AN5" s="199"/>
      <c r="AO5" s="199"/>
      <c r="AP5" s="199"/>
      <c r="AQ5" s="199"/>
      <c r="AR5" s="199"/>
      <c r="AS5" s="199"/>
      <c r="AT5" s="199"/>
      <c r="AU5" s="199"/>
      <c r="AV5" s="199"/>
      <c r="AW5" s="199"/>
      <c r="AX5" s="199"/>
      <c r="AY5" s="199"/>
      <c r="AZ5" s="199"/>
    </row>
    <row r="6" spans="1:102" ht="24" customHeight="1" x14ac:dyDescent="0.15">
      <c r="A6" s="199"/>
      <c r="B6" s="199"/>
      <c r="C6" s="281" t="str">
        <f>'計算基準（非公開）'!C55</f>
        <v/>
      </c>
      <c r="D6" s="281"/>
      <c r="E6" s="281"/>
      <c r="F6" s="281"/>
      <c r="G6" s="281"/>
      <c r="H6" s="281"/>
      <c r="I6" s="281"/>
      <c r="J6" s="281"/>
      <c r="K6" s="281"/>
      <c r="L6" s="281"/>
      <c r="M6" s="281"/>
      <c r="N6" s="281"/>
      <c r="O6" s="281"/>
      <c r="P6" s="281"/>
      <c r="Q6" s="281"/>
      <c r="R6" s="281"/>
      <c r="S6" s="281"/>
      <c r="T6" s="281"/>
      <c r="U6" s="281"/>
      <c r="V6" s="281"/>
      <c r="W6" s="281"/>
      <c r="X6" s="281"/>
      <c r="Y6" s="281"/>
      <c r="Z6" s="281"/>
      <c r="AA6" s="281"/>
      <c r="AB6" s="281"/>
      <c r="AC6" s="281"/>
      <c r="AD6" s="281"/>
      <c r="AE6" s="281"/>
      <c r="AF6" s="281"/>
      <c r="AG6" s="281"/>
      <c r="AH6" s="281"/>
      <c r="AI6" s="281"/>
      <c r="AJ6" s="281"/>
      <c r="AK6" s="200"/>
      <c r="AL6" s="200"/>
      <c r="AM6" s="280" t="s">
        <v>125</v>
      </c>
      <c r="AN6" s="280"/>
      <c r="AO6" s="280"/>
      <c r="AP6" s="280"/>
      <c r="AQ6" s="279">
        <f ca="1">TODAY()</f>
        <v>45747</v>
      </c>
      <c r="AR6" s="279"/>
      <c r="AS6" s="279"/>
      <c r="AT6" s="279"/>
      <c r="AU6" s="279"/>
      <c r="AV6" s="279"/>
      <c r="AW6" s="279"/>
      <c r="AX6" s="279"/>
      <c r="AY6" s="199"/>
      <c r="AZ6" s="199"/>
    </row>
    <row r="7" spans="1:102" x14ac:dyDescent="0.15">
      <c r="A7" s="199"/>
      <c r="B7" s="199"/>
      <c r="C7" s="199"/>
      <c r="D7" s="199"/>
      <c r="E7" s="199"/>
      <c r="F7" s="199"/>
      <c r="G7" s="199"/>
      <c r="H7" s="199"/>
      <c r="I7" s="199"/>
      <c r="J7" s="199"/>
      <c r="K7" s="199"/>
      <c r="L7" s="199"/>
      <c r="M7" s="199"/>
      <c r="N7" s="199"/>
      <c r="O7" s="199"/>
      <c r="P7" s="199"/>
      <c r="Q7" s="199"/>
      <c r="R7" s="199"/>
      <c r="S7" s="199"/>
      <c r="T7" s="199"/>
      <c r="U7" s="199"/>
      <c r="V7" s="199"/>
      <c r="W7" s="199"/>
      <c r="X7" s="199"/>
      <c r="Y7" s="199"/>
      <c r="Z7" s="199"/>
      <c r="AA7" s="199"/>
      <c r="AB7" s="199"/>
      <c r="AC7" s="199"/>
      <c r="AD7" s="199"/>
      <c r="AE7" s="199"/>
      <c r="AF7" s="199"/>
      <c r="AG7" s="199"/>
      <c r="AH7" s="199"/>
      <c r="AI7" s="199"/>
      <c r="AJ7" s="199"/>
      <c r="AK7" s="199"/>
      <c r="AL7" s="199"/>
      <c r="AM7" s="199"/>
      <c r="AN7" s="199"/>
      <c r="AO7" s="199"/>
      <c r="AP7" s="199"/>
      <c r="AQ7" s="199"/>
      <c r="AR7" s="199"/>
      <c r="AS7" s="199"/>
      <c r="AT7" s="199"/>
      <c r="AU7" s="199"/>
      <c r="AV7" s="199"/>
      <c r="AW7" s="199"/>
      <c r="AX7" s="199"/>
      <c r="AY7" s="199"/>
      <c r="AZ7" s="199"/>
    </row>
    <row r="8" spans="1:102" x14ac:dyDescent="0.15">
      <c r="A8" s="199"/>
      <c r="B8" s="199"/>
      <c r="C8" s="276" t="s">
        <v>80</v>
      </c>
      <c r="D8" s="276"/>
      <c r="E8" s="276"/>
      <c r="F8" s="276"/>
      <c r="G8" s="276"/>
      <c r="H8" s="276"/>
      <c r="I8" s="276"/>
      <c r="J8" s="276"/>
      <c r="K8" s="276"/>
      <c r="L8" s="276"/>
      <c r="M8" s="277" t="s">
        <v>153</v>
      </c>
      <c r="N8" s="278"/>
      <c r="O8" s="278"/>
      <c r="P8" s="278"/>
      <c r="Q8" s="278"/>
      <c r="R8" s="278"/>
      <c r="S8" s="278"/>
      <c r="T8" s="278"/>
      <c r="U8" s="278"/>
      <c r="V8" s="278"/>
      <c r="W8" s="278"/>
      <c r="X8" s="278"/>
      <c r="Y8" s="278"/>
      <c r="Z8" s="278"/>
      <c r="AA8" s="278"/>
      <c r="AB8" s="278"/>
      <c r="AC8" s="278"/>
      <c r="AD8" s="278"/>
      <c r="AE8" s="278"/>
      <c r="AF8" s="278"/>
      <c r="AG8" s="278"/>
      <c r="AH8" s="278"/>
      <c r="AI8" s="278"/>
      <c r="AJ8" s="278"/>
      <c r="AK8" s="278"/>
      <c r="AL8" s="278"/>
      <c r="AM8" s="278"/>
      <c r="AN8" s="278"/>
      <c r="AO8" s="278"/>
      <c r="AP8" s="278"/>
      <c r="AQ8" s="278"/>
      <c r="AR8" s="278"/>
      <c r="AS8" s="278"/>
      <c r="AT8" s="278"/>
      <c r="AU8" s="278"/>
      <c r="AV8" s="278"/>
      <c r="AW8" s="278"/>
      <c r="AX8" s="278"/>
      <c r="AY8" s="199"/>
      <c r="AZ8" s="199"/>
    </row>
    <row r="9" spans="1:102" x14ac:dyDescent="0.15">
      <c r="A9" s="199"/>
      <c r="B9" s="199"/>
      <c r="C9" s="276"/>
      <c r="D9" s="276"/>
      <c r="E9" s="276"/>
      <c r="F9" s="276"/>
      <c r="G9" s="276"/>
      <c r="H9" s="276"/>
      <c r="I9" s="276"/>
      <c r="J9" s="276"/>
      <c r="K9" s="276"/>
      <c r="L9" s="276"/>
      <c r="M9" s="278"/>
      <c r="N9" s="278"/>
      <c r="O9" s="278"/>
      <c r="P9" s="278"/>
      <c r="Q9" s="278"/>
      <c r="R9" s="278"/>
      <c r="S9" s="278"/>
      <c r="T9" s="278"/>
      <c r="U9" s="278"/>
      <c r="V9" s="278"/>
      <c r="W9" s="278"/>
      <c r="X9" s="278"/>
      <c r="Y9" s="278"/>
      <c r="Z9" s="278"/>
      <c r="AA9" s="278"/>
      <c r="AB9" s="278"/>
      <c r="AC9" s="278"/>
      <c r="AD9" s="278"/>
      <c r="AE9" s="278"/>
      <c r="AF9" s="278"/>
      <c r="AG9" s="278"/>
      <c r="AH9" s="278"/>
      <c r="AI9" s="278"/>
      <c r="AJ9" s="278"/>
      <c r="AK9" s="278"/>
      <c r="AL9" s="278"/>
      <c r="AM9" s="278"/>
      <c r="AN9" s="278"/>
      <c r="AO9" s="278"/>
      <c r="AP9" s="278"/>
      <c r="AQ9" s="278"/>
      <c r="AR9" s="278"/>
      <c r="AS9" s="278"/>
      <c r="AT9" s="278"/>
      <c r="AU9" s="278"/>
      <c r="AV9" s="278"/>
      <c r="AW9" s="278"/>
      <c r="AX9" s="278"/>
      <c r="AY9" s="199"/>
      <c r="AZ9" s="199"/>
    </row>
    <row r="10" spans="1:102" x14ac:dyDescent="0.15">
      <c r="A10" s="199"/>
      <c r="B10" s="199"/>
      <c r="C10" s="276"/>
      <c r="D10" s="276"/>
      <c r="E10" s="276"/>
      <c r="F10" s="276"/>
      <c r="G10" s="276"/>
      <c r="H10" s="276"/>
      <c r="I10" s="276"/>
      <c r="J10" s="276"/>
      <c r="K10" s="276"/>
      <c r="L10" s="276"/>
      <c r="M10" s="278"/>
      <c r="N10" s="278"/>
      <c r="O10" s="278"/>
      <c r="P10" s="278"/>
      <c r="Q10" s="278"/>
      <c r="R10" s="278"/>
      <c r="S10" s="278"/>
      <c r="T10" s="278"/>
      <c r="U10" s="278"/>
      <c r="V10" s="278"/>
      <c r="W10" s="278"/>
      <c r="X10" s="278"/>
      <c r="Y10" s="278"/>
      <c r="Z10" s="278"/>
      <c r="AA10" s="278"/>
      <c r="AB10" s="278"/>
      <c r="AC10" s="278"/>
      <c r="AD10" s="278"/>
      <c r="AE10" s="278"/>
      <c r="AF10" s="278"/>
      <c r="AG10" s="278"/>
      <c r="AH10" s="278"/>
      <c r="AI10" s="278"/>
      <c r="AJ10" s="278"/>
      <c r="AK10" s="278"/>
      <c r="AL10" s="278"/>
      <c r="AM10" s="278"/>
      <c r="AN10" s="278"/>
      <c r="AO10" s="278"/>
      <c r="AP10" s="278"/>
      <c r="AQ10" s="278"/>
      <c r="AR10" s="278"/>
      <c r="AS10" s="278"/>
      <c r="AT10" s="278"/>
      <c r="AU10" s="278"/>
      <c r="AV10" s="278"/>
      <c r="AW10" s="278"/>
      <c r="AX10" s="278"/>
      <c r="AY10" s="199"/>
      <c r="AZ10" s="199"/>
    </row>
    <row r="11" spans="1:102" x14ac:dyDescent="0.15">
      <c r="A11" s="199"/>
      <c r="B11" s="199"/>
      <c r="C11" s="276"/>
      <c r="D11" s="276"/>
      <c r="E11" s="276"/>
      <c r="F11" s="276"/>
      <c r="G11" s="276"/>
      <c r="H11" s="276"/>
      <c r="I11" s="276"/>
      <c r="J11" s="276"/>
      <c r="K11" s="276"/>
      <c r="L11" s="276"/>
      <c r="M11" s="278"/>
      <c r="N11" s="278"/>
      <c r="O11" s="278"/>
      <c r="P11" s="278"/>
      <c r="Q11" s="278"/>
      <c r="R11" s="278"/>
      <c r="S11" s="278"/>
      <c r="T11" s="278"/>
      <c r="U11" s="278"/>
      <c r="V11" s="278"/>
      <c r="W11" s="278"/>
      <c r="X11" s="278"/>
      <c r="Y11" s="278"/>
      <c r="Z11" s="278"/>
      <c r="AA11" s="278"/>
      <c r="AB11" s="278"/>
      <c r="AC11" s="278"/>
      <c r="AD11" s="278"/>
      <c r="AE11" s="278"/>
      <c r="AF11" s="278"/>
      <c r="AG11" s="278"/>
      <c r="AH11" s="278"/>
      <c r="AI11" s="278"/>
      <c r="AJ11" s="278"/>
      <c r="AK11" s="278"/>
      <c r="AL11" s="278"/>
      <c r="AM11" s="278"/>
      <c r="AN11" s="278"/>
      <c r="AO11" s="278"/>
      <c r="AP11" s="278"/>
      <c r="AQ11" s="278"/>
      <c r="AR11" s="278"/>
      <c r="AS11" s="278"/>
      <c r="AT11" s="278"/>
      <c r="AU11" s="278"/>
      <c r="AV11" s="278"/>
      <c r="AW11" s="278"/>
      <c r="AX11" s="278"/>
      <c r="AY11" s="199"/>
      <c r="AZ11" s="199"/>
    </row>
    <row r="12" spans="1:102" x14ac:dyDescent="0.15">
      <c r="A12" s="199"/>
      <c r="B12" s="199"/>
      <c r="C12" s="199"/>
      <c r="D12" s="199"/>
      <c r="E12" s="199"/>
      <c r="F12" s="199"/>
      <c r="G12" s="199"/>
      <c r="H12" s="199"/>
      <c r="I12" s="199"/>
      <c r="J12" s="199"/>
      <c r="K12" s="199"/>
      <c r="L12" s="199"/>
      <c r="M12" s="199"/>
      <c r="N12" s="199"/>
      <c r="O12" s="199"/>
      <c r="P12" s="199"/>
      <c r="Q12" s="199"/>
      <c r="R12" s="199"/>
      <c r="S12" s="199"/>
      <c r="T12" s="199"/>
      <c r="U12" s="199"/>
      <c r="V12" s="199"/>
      <c r="W12" s="199"/>
      <c r="X12" s="199"/>
      <c r="Y12" s="199"/>
      <c r="Z12" s="199"/>
      <c r="AA12" s="199"/>
      <c r="AB12" s="199"/>
      <c r="AC12" s="199"/>
      <c r="AD12" s="199"/>
      <c r="AE12" s="199"/>
      <c r="AF12" s="199"/>
      <c r="AG12" s="199"/>
      <c r="AH12" s="199"/>
      <c r="AI12" s="199"/>
      <c r="AJ12" s="199"/>
      <c r="AK12" s="199"/>
      <c r="AL12" s="199"/>
      <c r="AM12" s="199"/>
      <c r="AN12" s="199"/>
      <c r="AO12" s="199"/>
      <c r="AP12" s="199"/>
      <c r="AQ12" s="199"/>
      <c r="AR12" s="199"/>
      <c r="AS12" s="199"/>
      <c r="AT12" s="199"/>
      <c r="AU12" s="199"/>
      <c r="AV12" s="199"/>
      <c r="AW12" s="199"/>
      <c r="AX12" s="199"/>
      <c r="AY12" s="199"/>
      <c r="AZ12" s="199"/>
    </row>
    <row r="13" spans="1:102" x14ac:dyDescent="0.15">
      <c r="A13" s="199"/>
      <c r="B13" s="199"/>
      <c r="C13" s="276" t="s">
        <v>81</v>
      </c>
      <c r="D13" s="276"/>
      <c r="E13" s="276"/>
      <c r="F13" s="276"/>
      <c r="G13" s="276"/>
      <c r="H13" s="276"/>
      <c r="I13" s="276"/>
      <c r="J13" s="276"/>
      <c r="K13" s="276"/>
      <c r="L13" s="276"/>
      <c r="M13" s="277" t="s">
        <v>154</v>
      </c>
      <c r="N13" s="278"/>
      <c r="O13" s="278"/>
      <c r="P13" s="278"/>
      <c r="Q13" s="278"/>
      <c r="R13" s="278"/>
      <c r="S13" s="278"/>
      <c r="T13" s="278"/>
      <c r="U13" s="278"/>
      <c r="V13" s="278"/>
      <c r="W13" s="278"/>
      <c r="X13" s="278"/>
      <c r="Y13" s="278"/>
      <c r="Z13" s="278"/>
      <c r="AA13" s="278"/>
      <c r="AB13" s="278"/>
      <c r="AC13" s="278"/>
      <c r="AD13" s="278"/>
      <c r="AE13" s="278"/>
      <c r="AF13" s="278"/>
      <c r="AG13" s="278"/>
      <c r="AH13" s="278"/>
      <c r="AI13" s="278"/>
      <c r="AJ13" s="278"/>
      <c r="AK13" s="278"/>
      <c r="AL13" s="278"/>
      <c r="AM13" s="278"/>
      <c r="AN13" s="278"/>
      <c r="AO13" s="278"/>
      <c r="AP13" s="278"/>
      <c r="AQ13" s="278"/>
      <c r="AR13" s="278"/>
      <c r="AS13" s="278"/>
      <c r="AT13" s="278"/>
      <c r="AU13" s="278"/>
      <c r="AV13" s="278"/>
      <c r="AW13" s="278"/>
      <c r="AX13" s="278"/>
      <c r="AY13" s="199"/>
      <c r="AZ13" s="199"/>
    </row>
    <row r="14" spans="1:102" x14ac:dyDescent="0.15">
      <c r="A14" s="199"/>
      <c r="B14" s="199"/>
      <c r="C14" s="276"/>
      <c r="D14" s="276"/>
      <c r="E14" s="276"/>
      <c r="F14" s="276"/>
      <c r="G14" s="276"/>
      <c r="H14" s="276"/>
      <c r="I14" s="276"/>
      <c r="J14" s="276"/>
      <c r="K14" s="276"/>
      <c r="L14" s="276"/>
      <c r="M14" s="278"/>
      <c r="N14" s="278"/>
      <c r="O14" s="278"/>
      <c r="P14" s="278"/>
      <c r="Q14" s="278"/>
      <c r="R14" s="278"/>
      <c r="S14" s="278"/>
      <c r="T14" s="278"/>
      <c r="U14" s="278"/>
      <c r="V14" s="278"/>
      <c r="W14" s="278"/>
      <c r="X14" s="278"/>
      <c r="Y14" s="278"/>
      <c r="Z14" s="278"/>
      <c r="AA14" s="278"/>
      <c r="AB14" s="278"/>
      <c r="AC14" s="278"/>
      <c r="AD14" s="278"/>
      <c r="AE14" s="278"/>
      <c r="AF14" s="278"/>
      <c r="AG14" s="278"/>
      <c r="AH14" s="278"/>
      <c r="AI14" s="278"/>
      <c r="AJ14" s="278"/>
      <c r="AK14" s="278"/>
      <c r="AL14" s="278"/>
      <c r="AM14" s="278"/>
      <c r="AN14" s="278"/>
      <c r="AO14" s="278"/>
      <c r="AP14" s="278"/>
      <c r="AQ14" s="278"/>
      <c r="AR14" s="278"/>
      <c r="AS14" s="278"/>
      <c r="AT14" s="278"/>
      <c r="AU14" s="278"/>
      <c r="AV14" s="278"/>
      <c r="AW14" s="278"/>
      <c r="AX14" s="278"/>
      <c r="AY14" s="199"/>
      <c r="AZ14" s="199"/>
    </row>
    <row r="15" spans="1:102" x14ac:dyDescent="0.15">
      <c r="A15" s="199"/>
      <c r="B15" s="199"/>
      <c r="C15" s="276"/>
      <c r="D15" s="276"/>
      <c r="E15" s="276"/>
      <c r="F15" s="276"/>
      <c r="G15" s="276"/>
      <c r="H15" s="276"/>
      <c r="I15" s="276"/>
      <c r="J15" s="276"/>
      <c r="K15" s="276"/>
      <c r="L15" s="276"/>
      <c r="M15" s="278"/>
      <c r="N15" s="278"/>
      <c r="O15" s="278"/>
      <c r="P15" s="278"/>
      <c r="Q15" s="278"/>
      <c r="R15" s="278"/>
      <c r="S15" s="278"/>
      <c r="T15" s="278"/>
      <c r="U15" s="278"/>
      <c r="V15" s="278"/>
      <c r="W15" s="278"/>
      <c r="X15" s="278"/>
      <c r="Y15" s="278"/>
      <c r="Z15" s="278"/>
      <c r="AA15" s="278"/>
      <c r="AB15" s="278"/>
      <c r="AC15" s="278"/>
      <c r="AD15" s="278"/>
      <c r="AE15" s="278"/>
      <c r="AF15" s="278"/>
      <c r="AG15" s="278"/>
      <c r="AH15" s="278"/>
      <c r="AI15" s="278"/>
      <c r="AJ15" s="278"/>
      <c r="AK15" s="278"/>
      <c r="AL15" s="278"/>
      <c r="AM15" s="278"/>
      <c r="AN15" s="278"/>
      <c r="AO15" s="278"/>
      <c r="AP15" s="278"/>
      <c r="AQ15" s="278"/>
      <c r="AR15" s="278"/>
      <c r="AS15" s="278"/>
      <c r="AT15" s="278"/>
      <c r="AU15" s="278"/>
      <c r="AV15" s="278"/>
      <c r="AW15" s="278"/>
      <c r="AX15" s="278"/>
      <c r="AY15" s="199"/>
      <c r="AZ15" s="199"/>
    </row>
    <row r="16" spans="1:102" x14ac:dyDescent="0.15">
      <c r="A16" s="199"/>
      <c r="B16" s="199"/>
      <c r="C16" s="276"/>
      <c r="D16" s="276"/>
      <c r="E16" s="276"/>
      <c r="F16" s="276"/>
      <c r="G16" s="276"/>
      <c r="H16" s="276"/>
      <c r="I16" s="276"/>
      <c r="J16" s="276"/>
      <c r="K16" s="276"/>
      <c r="L16" s="276"/>
      <c r="M16" s="278"/>
      <c r="N16" s="278"/>
      <c r="O16" s="278"/>
      <c r="P16" s="278"/>
      <c r="Q16" s="278"/>
      <c r="R16" s="278"/>
      <c r="S16" s="278"/>
      <c r="T16" s="278"/>
      <c r="U16" s="278"/>
      <c r="V16" s="278"/>
      <c r="W16" s="278"/>
      <c r="X16" s="278"/>
      <c r="Y16" s="278"/>
      <c r="Z16" s="278"/>
      <c r="AA16" s="278"/>
      <c r="AB16" s="278"/>
      <c r="AC16" s="278"/>
      <c r="AD16" s="278"/>
      <c r="AE16" s="278"/>
      <c r="AF16" s="278"/>
      <c r="AG16" s="278"/>
      <c r="AH16" s="278"/>
      <c r="AI16" s="278"/>
      <c r="AJ16" s="278"/>
      <c r="AK16" s="278"/>
      <c r="AL16" s="278"/>
      <c r="AM16" s="278"/>
      <c r="AN16" s="278"/>
      <c r="AO16" s="278"/>
      <c r="AP16" s="278"/>
      <c r="AQ16" s="278"/>
      <c r="AR16" s="278"/>
      <c r="AS16" s="278"/>
      <c r="AT16" s="278"/>
      <c r="AU16" s="278"/>
      <c r="AV16" s="278"/>
      <c r="AW16" s="278"/>
      <c r="AX16" s="278"/>
      <c r="AY16" s="199"/>
      <c r="AZ16" s="199"/>
    </row>
    <row r="17" spans="1:52" x14ac:dyDescent="0.15">
      <c r="A17" s="199"/>
      <c r="B17" s="199"/>
      <c r="C17" s="201"/>
      <c r="D17" s="201"/>
      <c r="E17" s="201"/>
      <c r="F17" s="201"/>
      <c r="G17" s="201"/>
      <c r="H17" s="201"/>
      <c r="I17" s="201"/>
      <c r="J17" s="201"/>
      <c r="K17" s="201"/>
      <c r="L17" s="201"/>
      <c r="M17" s="199"/>
      <c r="N17" s="199"/>
      <c r="O17" s="199"/>
      <c r="P17" s="199"/>
      <c r="Q17" s="199"/>
      <c r="R17" s="199"/>
      <c r="S17" s="199"/>
      <c r="T17" s="199"/>
      <c r="U17" s="199"/>
      <c r="V17" s="199"/>
      <c r="W17" s="199"/>
      <c r="X17" s="199"/>
      <c r="Y17" s="199"/>
      <c r="Z17" s="199"/>
      <c r="AA17" s="199"/>
      <c r="AB17" s="199"/>
      <c r="AC17" s="199"/>
      <c r="AD17" s="199"/>
      <c r="AE17" s="199"/>
      <c r="AF17" s="199"/>
      <c r="AG17" s="199"/>
      <c r="AH17" s="199"/>
      <c r="AI17" s="199"/>
      <c r="AJ17" s="199"/>
      <c r="AK17" s="199"/>
      <c r="AL17" s="199"/>
      <c r="AM17" s="199"/>
      <c r="AN17" s="199"/>
      <c r="AO17" s="199"/>
      <c r="AP17" s="199"/>
      <c r="AQ17" s="199"/>
      <c r="AR17" s="199"/>
      <c r="AS17" s="199"/>
      <c r="AT17" s="199"/>
      <c r="AU17" s="199"/>
      <c r="AV17" s="199"/>
      <c r="AW17" s="199"/>
      <c r="AX17" s="199"/>
      <c r="AY17" s="199"/>
      <c r="AZ17" s="199"/>
    </row>
    <row r="18" spans="1:52" x14ac:dyDescent="0.15">
      <c r="A18" s="199"/>
      <c r="B18" s="199"/>
      <c r="C18" s="276" t="s">
        <v>82</v>
      </c>
      <c r="D18" s="276"/>
      <c r="E18" s="276"/>
      <c r="F18" s="276"/>
      <c r="G18" s="276"/>
      <c r="H18" s="276"/>
      <c r="I18" s="276"/>
      <c r="J18" s="276"/>
      <c r="K18" s="276"/>
      <c r="L18" s="276"/>
      <c r="M18" s="277" t="s">
        <v>126</v>
      </c>
      <c r="N18" s="278"/>
      <c r="O18" s="278"/>
      <c r="P18" s="278"/>
      <c r="Q18" s="278"/>
      <c r="R18" s="278"/>
      <c r="S18" s="278"/>
      <c r="T18" s="278"/>
      <c r="U18" s="278"/>
      <c r="V18" s="278"/>
      <c r="W18" s="278"/>
      <c r="X18" s="278"/>
      <c r="Y18" s="278"/>
      <c r="Z18" s="278"/>
      <c r="AA18" s="278"/>
      <c r="AB18" s="278"/>
      <c r="AC18" s="278"/>
      <c r="AD18" s="278"/>
      <c r="AE18" s="278"/>
      <c r="AF18" s="278"/>
      <c r="AG18" s="278"/>
      <c r="AH18" s="278"/>
      <c r="AI18" s="278"/>
      <c r="AJ18" s="278"/>
      <c r="AK18" s="278"/>
      <c r="AL18" s="278"/>
      <c r="AM18" s="278"/>
      <c r="AN18" s="278"/>
      <c r="AO18" s="278"/>
      <c r="AP18" s="278"/>
      <c r="AQ18" s="278"/>
      <c r="AR18" s="278"/>
      <c r="AS18" s="278"/>
      <c r="AT18" s="278"/>
      <c r="AU18" s="278"/>
      <c r="AV18" s="278"/>
      <c r="AW18" s="278"/>
      <c r="AX18" s="278"/>
      <c r="AY18" s="199"/>
      <c r="AZ18" s="199"/>
    </row>
    <row r="19" spans="1:52" x14ac:dyDescent="0.15">
      <c r="A19" s="199"/>
      <c r="B19" s="199"/>
      <c r="C19" s="276"/>
      <c r="D19" s="276"/>
      <c r="E19" s="276"/>
      <c r="F19" s="276"/>
      <c r="G19" s="276"/>
      <c r="H19" s="276"/>
      <c r="I19" s="276"/>
      <c r="J19" s="276"/>
      <c r="K19" s="276"/>
      <c r="L19" s="276"/>
      <c r="M19" s="278"/>
      <c r="N19" s="278"/>
      <c r="O19" s="278"/>
      <c r="P19" s="278"/>
      <c r="Q19" s="278"/>
      <c r="R19" s="278"/>
      <c r="S19" s="278"/>
      <c r="T19" s="278"/>
      <c r="U19" s="278"/>
      <c r="V19" s="278"/>
      <c r="W19" s="278"/>
      <c r="X19" s="278"/>
      <c r="Y19" s="278"/>
      <c r="Z19" s="278"/>
      <c r="AA19" s="278"/>
      <c r="AB19" s="278"/>
      <c r="AC19" s="278"/>
      <c r="AD19" s="278"/>
      <c r="AE19" s="278"/>
      <c r="AF19" s="278"/>
      <c r="AG19" s="278"/>
      <c r="AH19" s="278"/>
      <c r="AI19" s="278"/>
      <c r="AJ19" s="278"/>
      <c r="AK19" s="278"/>
      <c r="AL19" s="278"/>
      <c r="AM19" s="278"/>
      <c r="AN19" s="278"/>
      <c r="AO19" s="278"/>
      <c r="AP19" s="278"/>
      <c r="AQ19" s="278"/>
      <c r="AR19" s="278"/>
      <c r="AS19" s="278"/>
      <c r="AT19" s="278"/>
      <c r="AU19" s="278"/>
      <c r="AV19" s="278"/>
      <c r="AW19" s="278"/>
      <c r="AX19" s="278"/>
      <c r="AY19" s="199"/>
      <c r="AZ19" s="199"/>
    </row>
    <row r="20" spans="1:52" x14ac:dyDescent="0.15">
      <c r="A20" s="199"/>
      <c r="B20" s="199"/>
      <c r="C20" s="276"/>
      <c r="D20" s="276"/>
      <c r="E20" s="276"/>
      <c r="F20" s="276"/>
      <c r="G20" s="276"/>
      <c r="H20" s="276"/>
      <c r="I20" s="276"/>
      <c r="J20" s="276"/>
      <c r="K20" s="276"/>
      <c r="L20" s="276"/>
      <c r="M20" s="278"/>
      <c r="N20" s="278"/>
      <c r="O20" s="278"/>
      <c r="P20" s="278"/>
      <c r="Q20" s="278"/>
      <c r="R20" s="278"/>
      <c r="S20" s="278"/>
      <c r="T20" s="278"/>
      <c r="U20" s="278"/>
      <c r="V20" s="278"/>
      <c r="W20" s="278"/>
      <c r="X20" s="278"/>
      <c r="Y20" s="278"/>
      <c r="Z20" s="278"/>
      <c r="AA20" s="278"/>
      <c r="AB20" s="278"/>
      <c r="AC20" s="278"/>
      <c r="AD20" s="278"/>
      <c r="AE20" s="278"/>
      <c r="AF20" s="278"/>
      <c r="AG20" s="278"/>
      <c r="AH20" s="278"/>
      <c r="AI20" s="278"/>
      <c r="AJ20" s="278"/>
      <c r="AK20" s="278"/>
      <c r="AL20" s="278"/>
      <c r="AM20" s="278"/>
      <c r="AN20" s="278"/>
      <c r="AO20" s="278"/>
      <c r="AP20" s="278"/>
      <c r="AQ20" s="278"/>
      <c r="AR20" s="278"/>
      <c r="AS20" s="278"/>
      <c r="AT20" s="278"/>
      <c r="AU20" s="278"/>
      <c r="AV20" s="278"/>
      <c r="AW20" s="278"/>
      <c r="AX20" s="278"/>
      <c r="AY20" s="199"/>
      <c r="AZ20" s="199"/>
    </row>
    <row r="21" spans="1:52" x14ac:dyDescent="0.15">
      <c r="A21" s="199"/>
      <c r="B21" s="199"/>
      <c r="C21" s="276"/>
      <c r="D21" s="276"/>
      <c r="E21" s="276"/>
      <c r="F21" s="276"/>
      <c r="G21" s="276"/>
      <c r="H21" s="276"/>
      <c r="I21" s="276"/>
      <c r="J21" s="276"/>
      <c r="K21" s="276"/>
      <c r="L21" s="276"/>
      <c r="M21" s="278"/>
      <c r="N21" s="278"/>
      <c r="O21" s="278"/>
      <c r="P21" s="278"/>
      <c r="Q21" s="278"/>
      <c r="R21" s="278"/>
      <c r="S21" s="278"/>
      <c r="T21" s="278"/>
      <c r="U21" s="278"/>
      <c r="V21" s="278"/>
      <c r="W21" s="278"/>
      <c r="X21" s="278"/>
      <c r="Y21" s="278"/>
      <c r="Z21" s="278"/>
      <c r="AA21" s="278"/>
      <c r="AB21" s="278"/>
      <c r="AC21" s="278"/>
      <c r="AD21" s="278"/>
      <c r="AE21" s="278"/>
      <c r="AF21" s="278"/>
      <c r="AG21" s="278"/>
      <c r="AH21" s="278"/>
      <c r="AI21" s="278"/>
      <c r="AJ21" s="278"/>
      <c r="AK21" s="278"/>
      <c r="AL21" s="278"/>
      <c r="AM21" s="278"/>
      <c r="AN21" s="278"/>
      <c r="AO21" s="278"/>
      <c r="AP21" s="278"/>
      <c r="AQ21" s="278"/>
      <c r="AR21" s="278"/>
      <c r="AS21" s="278"/>
      <c r="AT21" s="278"/>
      <c r="AU21" s="278"/>
      <c r="AV21" s="278"/>
      <c r="AW21" s="278"/>
      <c r="AX21" s="278"/>
      <c r="AY21" s="199"/>
      <c r="AZ21" s="199"/>
    </row>
    <row r="22" spans="1:52" x14ac:dyDescent="0.15">
      <c r="A22" s="199"/>
      <c r="B22" s="199"/>
      <c r="C22" s="199"/>
      <c r="D22" s="199"/>
      <c r="E22" s="199"/>
      <c r="F22" s="199"/>
      <c r="G22" s="199"/>
      <c r="H22" s="199"/>
      <c r="I22" s="199"/>
      <c r="J22" s="199"/>
      <c r="K22" s="199"/>
      <c r="L22" s="199"/>
      <c r="M22" s="199"/>
      <c r="N22" s="199"/>
      <c r="O22" s="199"/>
      <c r="P22" s="199"/>
      <c r="Q22" s="199"/>
      <c r="R22" s="199"/>
      <c r="S22" s="199"/>
      <c r="T22" s="199"/>
      <c r="U22" s="199"/>
      <c r="V22" s="199"/>
      <c r="W22" s="199"/>
      <c r="X22" s="199"/>
      <c r="Y22" s="199"/>
      <c r="Z22" s="199"/>
      <c r="AA22" s="199"/>
      <c r="AB22" s="199"/>
      <c r="AC22" s="199"/>
      <c r="AD22" s="199"/>
      <c r="AE22" s="199"/>
      <c r="AF22" s="199"/>
      <c r="AG22" s="199"/>
      <c r="AH22" s="199"/>
      <c r="AI22" s="199"/>
      <c r="AJ22" s="199"/>
      <c r="AK22" s="199"/>
      <c r="AL22" s="199"/>
      <c r="AM22" s="199"/>
      <c r="AN22" s="199"/>
      <c r="AO22" s="199"/>
      <c r="AP22" s="199"/>
      <c r="AQ22" s="199"/>
      <c r="AR22" s="199"/>
      <c r="AS22" s="199"/>
      <c r="AT22" s="199"/>
      <c r="AU22" s="199"/>
      <c r="AV22" s="199"/>
      <c r="AW22" s="199"/>
      <c r="AX22" s="199"/>
      <c r="AY22" s="199"/>
      <c r="AZ22" s="199"/>
    </row>
    <row r="23" spans="1:52" ht="24" customHeight="1" thickBot="1" x14ac:dyDescent="0.2">
      <c r="A23" s="199"/>
      <c r="B23" s="199"/>
      <c r="C23" s="216" t="s">
        <v>127</v>
      </c>
      <c r="D23" s="199"/>
      <c r="E23" s="199"/>
      <c r="F23" s="199"/>
      <c r="G23" s="199"/>
      <c r="H23" s="199"/>
      <c r="I23" s="199"/>
      <c r="J23" s="199"/>
      <c r="K23" s="199"/>
      <c r="L23" s="199"/>
      <c r="M23" s="199"/>
      <c r="N23" s="199"/>
      <c r="O23" s="199"/>
      <c r="P23" s="199"/>
      <c r="Q23" s="199"/>
      <c r="R23" s="199"/>
      <c r="S23" s="199"/>
      <c r="T23" s="199"/>
      <c r="U23" s="199"/>
      <c r="V23" s="199"/>
      <c r="W23" s="199"/>
      <c r="X23" s="199"/>
      <c r="Y23" s="199"/>
      <c r="Z23" s="199"/>
      <c r="AA23" s="199"/>
      <c r="AB23" s="199"/>
      <c r="AC23" s="199"/>
      <c r="AD23" s="199"/>
      <c r="AE23" s="199"/>
      <c r="AF23" s="199"/>
      <c r="AG23" s="199"/>
      <c r="AH23" s="199"/>
      <c r="AI23" s="199"/>
      <c r="AJ23" s="199"/>
      <c r="AK23" s="199"/>
      <c r="AL23" s="199"/>
      <c r="AM23" s="199"/>
      <c r="AN23" s="199"/>
      <c r="AO23" s="199"/>
      <c r="AP23" s="199"/>
      <c r="AQ23" s="199"/>
      <c r="AR23" s="199"/>
      <c r="AS23" s="199"/>
      <c r="AT23" s="199"/>
      <c r="AU23" s="199"/>
      <c r="AV23" s="199"/>
      <c r="AW23" s="199"/>
      <c r="AX23" s="199"/>
      <c r="AY23" s="199"/>
      <c r="AZ23" s="199"/>
    </row>
    <row r="24" spans="1:52" ht="30" customHeight="1" thickBot="1" x14ac:dyDescent="0.2">
      <c r="A24" s="199"/>
      <c r="B24" s="199"/>
      <c r="C24" s="271" t="s">
        <v>109</v>
      </c>
      <c r="D24" s="269"/>
      <c r="E24" s="269"/>
      <c r="F24" s="269"/>
      <c r="G24" s="269"/>
      <c r="H24" s="269"/>
      <c r="I24" s="269"/>
      <c r="J24" s="269"/>
      <c r="K24" s="269" t="s">
        <v>41</v>
      </c>
      <c r="L24" s="269"/>
      <c r="M24" s="269"/>
      <c r="N24" s="269"/>
      <c r="O24" s="269"/>
      <c r="P24" s="269"/>
      <c r="Q24" s="269"/>
      <c r="R24" s="269"/>
      <c r="S24" s="269" t="s">
        <v>27</v>
      </c>
      <c r="T24" s="269"/>
      <c r="U24" s="269"/>
      <c r="V24" s="269"/>
      <c r="W24" s="269"/>
      <c r="X24" s="269"/>
      <c r="Y24" s="269"/>
      <c r="Z24" s="269"/>
      <c r="AA24" s="269" t="s">
        <v>31</v>
      </c>
      <c r="AB24" s="269"/>
      <c r="AC24" s="269"/>
      <c r="AD24" s="269"/>
      <c r="AE24" s="269"/>
      <c r="AF24" s="269"/>
      <c r="AG24" s="269"/>
      <c r="AH24" s="269"/>
      <c r="AI24" s="272" t="s">
        <v>42</v>
      </c>
      <c r="AJ24" s="272"/>
      <c r="AK24" s="272"/>
      <c r="AL24" s="272"/>
      <c r="AM24" s="272"/>
      <c r="AN24" s="272"/>
      <c r="AO24" s="272"/>
      <c r="AP24" s="272"/>
      <c r="AQ24" s="269" t="s">
        <v>98</v>
      </c>
      <c r="AR24" s="269"/>
      <c r="AS24" s="269"/>
      <c r="AT24" s="269"/>
      <c r="AU24" s="269"/>
      <c r="AV24" s="269"/>
      <c r="AW24" s="269"/>
      <c r="AX24" s="270"/>
      <c r="AY24" s="199"/>
      <c r="AZ24" s="199"/>
    </row>
    <row r="25" spans="1:52" ht="30" customHeight="1" x14ac:dyDescent="0.15">
      <c r="A25" s="199"/>
      <c r="B25" s="199"/>
      <c r="C25" s="250" t="s">
        <v>0</v>
      </c>
      <c r="D25" s="251"/>
      <c r="E25" s="251"/>
      <c r="F25" s="251"/>
      <c r="G25" s="261"/>
      <c r="H25" s="261"/>
      <c r="I25" s="261"/>
      <c r="J25" s="261"/>
      <c r="K25" s="261"/>
      <c r="L25" s="261"/>
      <c r="M25" s="261"/>
      <c r="N25" s="261"/>
      <c r="O25" s="261"/>
      <c r="P25" s="261"/>
      <c r="Q25" s="261"/>
      <c r="R25" s="261"/>
      <c r="S25" s="282"/>
      <c r="T25" s="283"/>
      <c r="U25" s="283"/>
      <c r="V25" s="283"/>
      <c r="W25" s="283"/>
      <c r="X25" s="283"/>
      <c r="Y25" s="283"/>
      <c r="Z25" s="202" t="s">
        <v>90</v>
      </c>
      <c r="AA25" s="282"/>
      <c r="AB25" s="283"/>
      <c r="AC25" s="283"/>
      <c r="AD25" s="283"/>
      <c r="AE25" s="283"/>
      <c r="AF25" s="283"/>
      <c r="AG25" s="283"/>
      <c r="AH25" s="202" t="s">
        <v>90</v>
      </c>
      <c r="AI25" s="282"/>
      <c r="AJ25" s="283"/>
      <c r="AK25" s="283"/>
      <c r="AL25" s="283"/>
      <c r="AM25" s="283"/>
      <c r="AN25" s="283"/>
      <c r="AO25" s="283"/>
      <c r="AP25" s="202" t="s">
        <v>90</v>
      </c>
      <c r="AQ25" s="302"/>
      <c r="AR25" s="302"/>
      <c r="AS25" s="302"/>
      <c r="AT25" s="302"/>
      <c r="AU25" s="302"/>
      <c r="AV25" s="302"/>
      <c r="AW25" s="302"/>
      <c r="AX25" s="303"/>
      <c r="AY25" s="199"/>
      <c r="AZ25" s="199"/>
    </row>
    <row r="26" spans="1:52" ht="30" customHeight="1" x14ac:dyDescent="0.15">
      <c r="A26" s="199"/>
      <c r="B26" s="199"/>
      <c r="C26" s="252" t="s">
        <v>133</v>
      </c>
      <c r="D26" s="253"/>
      <c r="E26" s="253"/>
      <c r="F26" s="253"/>
      <c r="G26" s="253"/>
      <c r="H26" s="253"/>
      <c r="I26" s="253"/>
      <c r="J26" s="253"/>
      <c r="K26" s="262"/>
      <c r="L26" s="262"/>
      <c r="M26" s="262"/>
      <c r="N26" s="262"/>
      <c r="O26" s="262"/>
      <c r="P26" s="262"/>
      <c r="Q26" s="262"/>
      <c r="R26" s="262"/>
      <c r="S26" s="264"/>
      <c r="T26" s="265"/>
      <c r="U26" s="265"/>
      <c r="V26" s="265"/>
      <c r="W26" s="265"/>
      <c r="X26" s="265"/>
      <c r="Y26" s="265"/>
      <c r="Z26" s="203" t="s">
        <v>90</v>
      </c>
      <c r="AA26" s="264"/>
      <c r="AB26" s="265"/>
      <c r="AC26" s="265"/>
      <c r="AD26" s="265"/>
      <c r="AE26" s="265"/>
      <c r="AF26" s="265"/>
      <c r="AG26" s="265"/>
      <c r="AH26" s="203" t="s">
        <v>90</v>
      </c>
      <c r="AI26" s="264"/>
      <c r="AJ26" s="265"/>
      <c r="AK26" s="265"/>
      <c r="AL26" s="265"/>
      <c r="AM26" s="265"/>
      <c r="AN26" s="265"/>
      <c r="AO26" s="265"/>
      <c r="AP26" s="203" t="s">
        <v>90</v>
      </c>
      <c r="AQ26" s="304"/>
      <c r="AR26" s="304"/>
      <c r="AS26" s="304"/>
      <c r="AT26" s="304"/>
      <c r="AU26" s="304"/>
      <c r="AV26" s="304"/>
      <c r="AW26" s="304"/>
      <c r="AX26" s="305"/>
      <c r="AY26" s="199"/>
      <c r="AZ26" s="199"/>
    </row>
    <row r="27" spans="1:52" ht="30" customHeight="1" x14ac:dyDescent="0.15">
      <c r="A27" s="199"/>
      <c r="B27" s="199"/>
      <c r="C27" s="252" t="s">
        <v>134</v>
      </c>
      <c r="D27" s="253"/>
      <c r="E27" s="253"/>
      <c r="F27" s="253"/>
      <c r="G27" s="253"/>
      <c r="H27" s="253"/>
      <c r="I27" s="253"/>
      <c r="J27" s="253"/>
      <c r="K27" s="262"/>
      <c r="L27" s="262"/>
      <c r="M27" s="262"/>
      <c r="N27" s="262"/>
      <c r="O27" s="262"/>
      <c r="P27" s="262"/>
      <c r="Q27" s="262"/>
      <c r="R27" s="262"/>
      <c r="S27" s="264"/>
      <c r="T27" s="265"/>
      <c r="U27" s="265"/>
      <c r="V27" s="265"/>
      <c r="W27" s="265"/>
      <c r="X27" s="265"/>
      <c r="Y27" s="265"/>
      <c r="Z27" s="203" t="s">
        <v>90</v>
      </c>
      <c r="AA27" s="264"/>
      <c r="AB27" s="265"/>
      <c r="AC27" s="265"/>
      <c r="AD27" s="265"/>
      <c r="AE27" s="265"/>
      <c r="AF27" s="265"/>
      <c r="AG27" s="265"/>
      <c r="AH27" s="203" t="s">
        <v>90</v>
      </c>
      <c r="AI27" s="264"/>
      <c r="AJ27" s="265"/>
      <c r="AK27" s="265"/>
      <c r="AL27" s="265"/>
      <c r="AM27" s="265"/>
      <c r="AN27" s="265"/>
      <c r="AO27" s="265"/>
      <c r="AP27" s="203" t="s">
        <v>90</v>
      </c>
      <c r="AQ27" s="304"/>
      <c r="AR27" s="304"/>
      <c r="AS27" s="304"/>
      <c r="AT27" s="304"/>
      <c r="AU27" s="304"/>
      <c r="AV27" s="304"/>
      <c r="AW27" s="304"/>
      <c r="AX27" s="305"/>
      <c r="AY27" s="199"/>
      <c r="AZ27" s="199"/>
    </row>
    <row r="28" spans="1:52" ht="30" customHeight="1" x14ac:dyDescent="0.15">
      <c r="A28" s="199"/>
      <c r="B28" s="199"/>
      <c r="C28" s="252" t="s">
        <v>135</v>
      </c>
      <c r="D28" s="253"/>
      <c r="E28" s="253"/>
      <c r="F28" s="253"/>
      <c r="G28" s="253"/>
      <c r="H28" s="253"/>
      <c r="I28" s="253"/>
      <c r="J28" s="253"/>
      <c r="K28" s="262"/>
      <c r="L28" s="262"/>
      <c r="M28" s="262"/>
      <c r="N28" s="262"/>
      <c r="O28" s="262"/>
      <c r="P28" s="262"/>
      <c r="Q28" s="262"/>
      <c r="R28" s="262"/>
      <c r="S28" s="264"/>
      <c r="T28" s="265"/>
      <c r="U28" s="265"/>
      <c r="V28" s="265"/>
      <c r="W28" s="265"/>
      <c r="X28" s="265"/>
      <c r="Y28" s="265"/>
      <c r="Z28" s="203" t="s">
        <v>90</v>
      </c>
      <c r="AA28" s="264"/>
      <c r="AB28" s="265"/>
      <c r="AC28" s="265"/>
      <c r="AD28" s="265"/>
      <c r="AE28" s="265"/>
      <c r="AF28" s="265"/>
      <c r="AG28" s="265"/>
      <c r="AH28" s="203" t="s">
        <v>90</v>
      </c>
      <c r="AI28" s="264"/>
      <c r="AJ28" s="265"/>
      <c r="AK28" s="265"/>
      <c r="AL28" s="265"/>
      <c r="AM28" s="265"/>
      <c r="AN28" s="265"/>
      <c r="AO28" s="265"/>
      <c r="AP28" s="203" t="s">
        <v>90</v>
      </c>
      <c r="AQ28" s="304"/>
      <c r="AR28" s="304"/>
      <c r="AS28" s="304"/>
      <c r="AT28" s="304"/>
      <c r="AU28" s="304"/>
      <c r="AV28" s="304"/>
      <c r="AW28" s="304"/>
      <c r="AX28" s="305"/>
      <c r="AY28" s="199"/>
      <c r="AZ28" s="199"/>
    </row>
    <row r="29" spans="1:52" ht="30" customHeight="1" x14ac:dyDescent="0.15">
      <c r="A29" s="199"/>
      <c r="B29" s="199"/>
      <c r="C29" s="252" t="s">
        <v>136</v>
      </c>
      <c r="D29" s="253"/>
      <c r="E29" s="253"/>
      <c r="F29" s="253"/>
      <c r="G29" s="253"/>
      <c r="H29" s="253"/>
      <c r="I29" s="253"/>
      <c r="J29" s="253"/>
      <c r="K29" s="262"/>
      <c r="L29" s="262"/>
      <c r="M29" s="262"/>
      <c r="N29" s="262"/>
      <c r="O29" s="262"/>
      <c r="P29" s="262"/>
      <c r="Q29" s="262"/>
      <c r="R29" s="262"/>
      <c r="S29" s="264"/>
      <c r="T29" s="265"/>
      <c r="U29" s="265"/>
      <c r="V29" s="265"/>
      <c r="W29" s="265"/>
      <c r="X29" s="265"/>
      <c r="Y29" s="265"/>
      <c r="Z29" s="203" t="s">
        <v>90</v>
      </c>
      <c r="AA29" s="264"/>
      <c r="AB29" s="265"/>
      <c r="AC29" s="265"/>
      <c r="AD29" s="265"/>
      <c r="AE29" s="265"/>
      <c r="AF29" s="265"/>
      <c r="AG29" s="265"/>
      <c r="AH29" s="203" t="s">
        <v>90</v>
      </c>
      <c r="AI29" s="264"/>
      <c r="AJ29" s="265"/>
      <c r="AK29" s="265"/>
      <c r="AL29" s="265"/>
      <c r="AM29" s="265"/>
      <c r="AN29" s="265"/>
      <c r="AO29" s="265"/>
      <c r="AP29" s="203" t="s">
        <v>90</v>
      </c>
      <c r="AQ29" s="304"/>
      <c r="AR29" s="304"/>
      <c r="AS29" s="304"/>
      <c r="AT29" s="304"/>
      <c r="AU29" s="304"/>
      <c r="AV29" s="304"/>
      <c r="AW29" s="304"/>
      <c r="AX29" s="305"/>
      <c r="AY29" s="199"/>
      <c r="AZ29" s="199"/>
    </row>
    <row r="30" spans="1:52" ht="30" customHeight="1" thickBot="1" x14ac:dyDescent="0.2">
      <c r="A30" s="199"/>
      <c r="B30" s="199"/>
      <c r="C30" s="300" t="s">
        <v>137</v>
      </c>
      <c r="D30" s="301"/>
      <c r="E30" s="301"/>
      <c r="F30" s="301"/>
      <c r="G30" s="301"/>
      <c r="H30" s="301"/>
      <c r="I30" s="301"/>
      <c r="J30" s="301"/>
      <c r="K30" s="268"/>
      <c r="L30" s="268"/>
      <c r="M30" s="268"/>
      <c r="N30" s="268"/>
      <c r="O30" s="268"/>
      <c r="P30" s="268"/>
      <c r="Q30" s="268"/>
      <c r="R30" s="268"/>
      <c r="S30" s="266"/>
      <c r="T30" s="267"/>
      <c r="U30" s="267"/>
      <c r="V30" s="267"/>
      <c r="W30" s="267"/>
      <c r="X30" s="267"/>
      <c r="Y30" s="267"/>
      <c r="Z30" s="204" t="s">
        <v>90</v>
      </c>
      <c r="AA30" s="266"/>
      <c r="AB30" s="267"/>
      <c r="AC30" s="267"/>
      <c r="AD30" s="267"/>
      <c r="AE30" s="267"/>
      <c r="AF30" s="267"/>
      <c r="AG30" s="267"/>
      <c r="AH30" s="204" t="s">
        <v>90</v>
      </c>
      <c r="AI30" s="266"/>
      <c r="AJ30" s="267"/>
      <c r="AK30" s="267"/>
      <c r="AL30" s="267"/>
      <c r="AM30" s="267"/>
      <c r="AN30" s="267"/>
      <c r="AO30" s="267"/>
      <c r="AP30" s="204" t="s">
        <v>90</v>
      </c>
      <c r="AQ30" s="308"/>
      <c r="AR30" s="308"/>
      <c r="AS30" s="308"/>
      <c r="AT30" s="308"/>
      <c r="AU30" s="308"/>
      <c r="AV30" s="308"/>
      <c r="AW30" s="308"/>
      <c r="AX30" s="309"/>
      <c r="AY30" s="199"/>
      <c r="AZ30" s="199"/>
    </row>
    <row r="31" spans="1:52" x14ac:dyDescent="0.15">
      <c r="A31" s="199"/>
      <c r="B31" s="199"/>
      <c r="C31" s="199"/>
      <c r="D31" s="199"/>
      <c r="E31" s="199"/>
      <c r="F31" s="199"/>
      <c r="G31" s="199"/>
      <c r="H31" s="199"/>
      <c r="I31" s="199"/>
      <c r="J31" s="199"/>
      <c r="K31" s="199"/>
      <c r="L31" s="199"/>
      <c r="M31" s="199"/>
      <c r="N31" s="199"/>
      <c r="O31" s="199"/>
      <c r="P31" s="199"/>
      <c r="Q31" s="199"/>
      <c r="R31" s="199"/>
      <c r="S31" s="199"/>
      <c r="T31" s="199"/>
      <c r="U31" s="199"/>
      <c r="V31" s="199"/>
      <c r="W31" s="199"/>
      <c r="X31" s="199"/>
      <c r="Y31" s="199"/>
      <c r="Z31" s="199"/>
      <c r="AA31" s="199"/>
      <c r="AB31" s="199"/>
      <c r="AC31" s="199"/>
      <c r="AD31" s="199"/>
      <c r="AE31" s="199"/>
      <c r="AF31" s="199"/>
      <c r="AG31" s="199"/>
      <c r="AH31" s="199"/>
      <c r="AI31" s="199"/>
      <c r="AJ31" s="199"/>
      <c r="AK31" s="199"/>
      <c r="AL31" s="199"/>
      <c r="AM31" s="199"/>
      <c r="AN31" s="199"/>
      <c r="AO31" s="199"/>
      <c r="AP31" s="199"/>
      <c r="AQ31" s="199"/>
      <c r="AR31" s="199"/>
      <c r="AS31" s="199"/>
      <c r="AT31" s="199"/>
      <c r="AU31" s="199"/>
      <c r="AV31" s="199"/>
      <c r="AW31" s="199"/>
      <c r="AX31" s="199"/>
      <c r="AY31" s="199"/>
      <c r="AZ31" s="199"/>
    </row>
    <row r="32" spans="1:52" ht="24" customHeight="1" thickBot="1" x14ac:dyDescent="0.2">
      <c r="A32" s="199"/>
      <c r="B32" s="199"/>
      <c r="C32" s="216" t="s">
        <v>128</v>
      </c>
      <c r="D32" s="199"/>
      <c r="E32" s="199"/>
      <c r="F32" s="199"/>
      <c r="G32" s="199"/>
      <c r="H32" s="199"/>
      <c r="I32" s="199"/>
      <c r="J32" s="199"/>
      <c r="K32" s="199"/>
      <c r="L32" s="199"/>
      <c r="M32" s="199"/>
      <c r="N32" s="199"/>
      <c r="O32" s="199"/>
      <c r="P32" s="199"/>
      <c r="Q32" s="199"/>
      <c r="R32" s="199"/>
      <c r="S32" s="199"/>
      <c r="T32" s="199"/>
      <c r="U32" s="199"/>
      <c r="V32" s="199"/>
      <c r="W32" s="199"/>
      <c r="X32" s="199"/>
      <c r="Y32" s="199"/>
      <c r="Z32" s="199"/>
      <c r="AA32" s="199"/>
      <c r="AB32" s="199"/>
      <c r="AC32" s="199"/>
      <c r="AD32" s="199"/>
      <c r="AE32" s="199"/>
      <c r="AF32" s="199"/>
      <c r="AG32" s="199"/>
      <c r="AH32" s="199"/>
      <c r="AI32" s="199"/>
      <c r="AJ32" s="199"/>
      <c r="AK32" s="199"/>
      <c r="AL32" s="199"/>
      <c r="AM32" s="199"/>
      <c r="AN32" s="199"/>
      <c r="AO32" s="199"/>
      <c r="AP32" s="199"/>
      <c r="AQ32" s="199"/>
      <c r="AR32" s="199"/>
      <c r="AS32" s="199"/>
      <c r="AT32" s="199"/>
      <c r="AU32" s="199"/>
      <c r="AV32" s="199"/>
      <c r="AW32" s="199"/>
      <c r="AX32" s="199"/>
      <c r="AY32" s="199"/>
      <c r="AZ32" s="199"/>
    </row>
    <row r="33" spans="1:52" ht="37.5" customHeight="1" thickBot="1" x14ac:dyDescent="0.2">
      <c r="A33" s="199"/>
      <c r="B33" s="199"/>
      <c r="C33" s="263" t="s">
        <v>16</v>
      </c>
      <c r="D33" s="243"/>
      <c r="E33" s="243"/>
      <c r="F33" s="243"/>
      <c r="G33" s="243"/>
      <c r="H33" s="243"/>
      <c r="I33" s="243"/>
      <c r="J33" s="243"/>
      <c r="K33" s="243"/>
      <c r="L33" s="243"/>
      <c r="M33" s="243"/>
      <c r="N33" s="243"/>
      <c r="O33" s="299" t="s">
        <v>156</v>
      </c>
      <c r="P33" s="299"/>
      <c r="Q33" s="299"/>
      <c r="R33" s="299"/>
      <c r="S33" s="299"/>
      <c r="T33" s="299"/>
      <c r="U33" s="299"/>
      <c r="V33" s="299"/>
      <c r="W33" s="299"/>
      <c r="X33" s="299"/>
      <c r="Y33" s="299"/>
      <c r="Z33" s="299"/>
      <c r="AA33" s="310" t="s">
        <v>157</v>
      </c>
      <c r="AB33" s="310"/>
      <c r="AC33" s="310"/>
      <c r="AD33" s="310"/>
      <c r="AE33" s="310"/>
      <c r="AF33" s="310"/>
      <c r="AG33" s="310"/>
      <c r="AH33" s="310"/>
      <c r="AI33" s="310"/>
      <c r="AJ33" s="310"/>
      <c r="AK33" s="310"/>
      <c r="AL33" s="310"/>
      <c r="AM33" s="306" t="s">
        <v>158</v>
      </c>
      <c r="AN33" s="306"/>
      <c r="AO33" s="306"/>
      <c r="AP33" s="306"/>
      <c r="AQ33" s="306"/>
      <c r="AR33" s="306"/>
      <c r="AS33" s="306"/>
      <c r="AT33" s="306"/>
      <c r="AU33" s="306"/>
      <c r="AV33" s="306"/>
      <c r="AW33" s="306"/>
      <c r="AX33" s="307"/>
      <c r="AY33" s="199"/>
      <c r="AZ33" s="199"/>
    </row>
    <row r="34" spans="1:52" ht="37.5" customHeight="1" x14ac:dyDescent="0.15">
      <c r="A34" s="199"/>
      <c r="B34" s="199"/>
      <c r="C34" s="250" t="s">
        <v>91</v>
      </c>
      <c r="D34" s="251"/>
      <c r="E34" s="251"/>
      <c r="F34" s="251"/>
      <c r="G34" s="251"/>
      <c r="H34" s="251"/>
      <c r="I34" s="251"/>
      <c r="J34" s="251"/>
      <c r="K34" s="251"/>
      <c r="L34" s="251"/>
      <c r="M34" s="251"/>
      <c r="N34" s="251"/>
      <c r="O34" s="244">
        <f>'計算基準（非公開）'!C28</f>
        <v>0</v>
      </c>
      <c r="P34" s="244"/>
      <c r="Q34" s="244"/>
      <c r="R34" s="244"/>
      <c r="S34" s="244"/>
      <c r="T34" s="244"/>
      <c r="U34" s="244"/>
      <c r="V34" s="244"/>
      <c r="W34" s="244"/>
      <c r="X34" s="244"/>
      <c r="Y34" s="245"/>
      <c r="Z34" s="205" t="str">
        <f>IF(O34="","","円")</f>
        <v>円</v>
      </c>
      <c r="AA34" s="244">
        <f>'計算基準（非公開）'!D28</f>
        <v>0</v>
      </c>
      <c r="AB34" s="244"/>
      <c r="AC34" s="244"/>
      <c r="AD34" s="244"/>
      <c r="AE34" s="244"/>
      <c r="AF34" s="244"/>
      <c r="AG34" s="244"/>
      <c r="AH34" s="244"/>
      <c r="AI34" s="244"/>
      <c r="AJ34" s="244"/>
      <c r="AK34" s="245"/>
      <c r="AL34" s="205" t="str">
        <f>IF(AA34="","","円")</f>
        <v>円</v>
      </c>
      <c r="AM34" s="244">
        <f>IF('計算基準（非公開）'!H18=0,0,'計算基準（非公開）'!E28)</f>
        <v>0</v>
      </c>
      <c r="AN34" s="244"/>
      <c r="AO34" s="244"/>
      <c r="AP34" s="244"/>
      <c r="AQ34" s="244"/>
      <c r="AR34" s="244"/>
      <c r="AS34" s="244"/>
      <c r="AT34" s="244"/>
      <c r="AU34" s="244"/>
      <c r="AV34" s="244"/>
      <c r="AW34" s="245"/>
      <c r="AX34" s="206" t="str">
        <f>IF(AM34="","","円")</f>
        <v>円</v>
      </c>
      <c r="AY34" s="199"/>
      <c r="AZ34" s="199"/>
    </row>
    <row r="35" spans="1:52" ht="37.5" customHeight="1" x14ac:dyDescent="0.15">
      <c r="A35" s="199"/>
      <c r="B35" s="199"/>
      <c r="C35" s="252" t="s">
        <v>92</v>
      </c>
      <c r="D35" s="253"/>
      <c r="E35" s="253"/>
      <c r="F35" s="253"/>
      <c r="G35" s="253"/>
      <c r="H35" s="253"/>
      <c r="I35" s="253"/>
      <c r="J35" s="253"/>
      <c r="K35" s="253"/>
      <c r="L35" s="253"/>
      <c r="M35" s="253"/>
      <c r="N35" s="253"/>
      <c r="O35" s="246">
        <f>IF('計算基準（非公開）'!G18=0,0,計算の詳細!P16)</f>
        <v>0</v>
      </c>
      <c r="P35" s="246"/>
      <c r="Q35" s="246"/>
      <c r="R35" s="246"/>
      <c r="S35" s="246"/>
      <c r="T35" s="246"/>
      <c r="U35" s="246"/>
      <c r="V35" s="246"/>
      <c r="W35" s="246"/>
      <c r="X35" s="246"/>
      <c r="Y35" s="247"/>
      <c r="Z35" s="207" t="str">
        <f t="shared" ref="Z35:Z36" si="0">IF(O35="","","円")</f>
        <v>円</v>
      </c>
      <c r="AA35" s="246">
        <f>IF('計算基準（非公開）'!G18=0,0,計算の詳細!P37)</f>
        <v>0</v>
      </c>
      <c r="AB35" s="246"/>
      <c r="AC35" s="246"/>
      <c r="AD35" s="246"/>
      <c r="AE35" s="246"/>
      <c r="AF35" s="246"/>
      <c r="AG35" s="246"/>
      <c r="AH35" s="246"/>
      <c r="AI35" s="246"/>
      <c r="AJ35" s="246"/>
      <c r="AK35" s="247"/>
      <c r="AL35" s="207" t="str">
        <f t="shared" ref="AL35:AL36" si="1">IF(AA35="","","円")</f>
        <v>円</v>
      </c>
      <c r="AM35" s="246">
        <f>IF('計算基準（非公開）'!H18=0,0,計算の詳細!P57+IF(計算の詳細!P58="",0,計算の詳細!P58))</f>
        <v>0</v>
      </c>
      <c r="AN35" s="246"/>
      <c r="AO35" s="246"/>
      <c r="AP35" s="246"/>
      <c r="AQ35" s="246"/>
      <c r="AR35" s="246"/>
      <c r="AS35" s="246"/>
      <c r="AT35" s="246"/>
      <c r="AU35" s="246"/>
      <c r="AV35" s="246"/>
      <c r="AW35" s="247"/>
      <c r="AX35" s="208" t="str">
        <f t="shared" ref="AX35:AX40" si="2">IF(AM35="","","円")</f>
        <v>円</v>
      </c>
      <c r="AY35" s="199"/>
      <c r="AZ35" s="199"/>
    </row>
    <row r="36" spans="1:52" ht="37.5" customHeight="1" thickBot="1" x14ac:dyDescent="0.2">
      <c r="A36" s="199"/>
      <c r="B36" s="199"/>
      <c r="C36" s="254" t="s">
        <v>93</v>
      </c>
      <c r="D36" s="255"/>
      <c r="E36" s="255"/>
      <c r="F36" s="255"/>
      <c r="G36" s="255"/>
      <c r="H36" s="255"/>
      <c r="I36" s="255"/>
      <c r="J36" s="255"/>
      <c r="K36" s="255"/>
      <c r="L36" s="255"/>
      <c r="M36" s="255"/>
      <c r="N36" s="255"/>
      <c r="O36" s="248">
        <f>IF('計算基準（非公開）'!G18=0,0,計算の詳細!P20)</f>
        <v>0</v>
      </c>
      <c r="P36" s="248"/>
      <c r="Q36" s="248"/>
      <c r="R36" s="248"/>
      <c r="S36" s="248"/>
      <c r="T36" s="248"/>
      <c r="U36" s="248"/>
      <c r="V36" s="248"/>
      <c r="W36" s="248"/>
      <c r="X36" s="248"/>
      <c r="Y36" s="249"/>
      <c r="Z36" s="209" t="str">
        <f t="shared" si="0"/>
        <v>円</v>
      </c>
      <c r="AA36" s="248">
        <f>IF('計算基準（非公開）'!G18=0,0,計算の詳細!P41+IF(計算の詳細!P42="",0,計算の詳細!P42))</f>
        <v>0</v>
      </c>
      <c r="AB36" s="248"/>
      <c r="AC36" s="248"/>
      <c r="AD36" s="248"/>
      <c r="AE36" s="248"/>
      <c r="AF36" s="248"/>
      <c r="AG36" s="248"/>
      <c r="AH36" s="248"/>
      <c r="AI36" s="248"/>
      <c r="AJ36" s="248"/>
      <c r="AK36" s="249"/>
      <c r="AL36" s="209" t="str">
        <f t="shared" si="1"/>
        <v>円</v>
      </c>
      <c r="AM36" s="248">
        <f>IF('計算基準（非公開）'!H18=0,0,計算の詳細!P61+IF(計算の詳細!P62="",0,計算の詳細!P62))</f>
        <v>0</v>
      </c>
      <c r="AN36" s="248"/>
      <c r="AO36" s="248"/>
      <c r="AP36" s="248"/>
      <c r="AQ36" s="248"/>
      <c r="AR36" s="248"/>
      <c r="AS36" s="248"/>
      <c r="AT36" s="248"/>
      <c r="AU36" s="248"/>
      <c r="AV36" s="248"/>
      <c r="AW36" s="249"/>
      <c r="AX36" s="210" t="str">
        <f t="shared" si="2"/>
        <v>円</v>
      </c>
      <c r="AY36" s="199"/>
      <c r="AZ36" s="199"/>
    </row>
    <row r="37" spans="1:52" ht="37.5" customHeight="1" thickBot="1" x14ac:dyDescent="0.2">
      <c r="A37" s="199"/>
      <c r="B37" s="199"/>
      <c r="C37" s="242" t="s">
        <v>94</v>
      </c>
      <c r="D37" s="243"/>
      <c r="E37" s="243"/>
      <c r="F37" s="243"/>
      <c r="G37" s="243"/>
      <c r="H37" s="243"/>
      <c r="I37" s="243"/>
      <c r="J37" s="243"/>
      <c r="K37" s="243"/>
      <c r="L37" s="243"/>
      <c r="M37" s="243"/>
      <c r="N37" s="243"/>
      <c r="O37" s="257" t="str">
        <f>" 賦課限度額 "&amp;TEXT('計算基準（非公開）'!C7/10000,"（#,##0万円）")</f>
        <v xml:space="preserve"> 賦課限度額 (65万円)</v>
      </c>
      <c r="P37" s="258"/>
      <c r="Q37" s="258"/>
      <c r="R37" s="258"/>
      <c r="S37" s="258"/>
      <c r="T37" s="256">
        <f>IF(ROUNDDOWN(O34+O35+O36,-2)&gt;='計算基準（非公開）'!C7,'計算基準（非公開）'!C7,ROUNDDOWN(O34+O35+O36,-2))</f>
        <v>0</v>
      </c>
      <c r="U37" s="256"/>
      <c r="V37" s="256"/>
      <c r="W37" s="256"/>
      <c r="X37" s="256"/>
      <c r="Y37" s="256"/>
      <c r="Z37" s="211" t="str">
        <f>IF(T37="","","円")</f>
        <v>円</v>
      </c>
      <c r="AA37" s="259" t="str">
        <f>" 賦課限度額 "&amp;TEXT('計算基準（非公開）'!D7/10000,"（#,##0万円）")</f>
        <v xml:space="preserve"> 賦課限度額 (22万円)</v>
      </c>
      <c r="AB37" s="260"/>
      <c r="AC37" s="260"/>
      <c r="AD37" s="260"/>
      <c r="AE37" s="260"/>
      <c r="AF37" s="256">
        <f>IF(ROUNDDOWN(AA34+AA35+AA36,-2)&gt;='計算基準（非公開）'!D7,'計算基準（非公開）'!D7,ROUNDDOWN(AA34+AA35+AA36,-2))</f>
        <v>0</v>
      </c>
      <c r="AG37" s="256"/>
      <c r="AH37" s="256"/>
      <c r="AI37" s="256"/>
      <c r="AJ37" s="256"/>
      <c r="AK37" s="256"/>
      <c r="AL37" s="211" t="str">
        <f>IF(AF37="","","円")</f>
        <v>円</v>
      </c>
      <c r="AM37" s="259" t="str">
        <f>" 賦課限度額 "&amp;TEXT('計算基準（非公開）'!E7/10000,"（#,##0万円）")</f>
        <v xml:space="preserve"> 賦課限度額 (17万円)</v>
      </c>
      <c r="AN37" s="260"/>
      <c r="AO37" s="260"/>
      <c r="AP37" s="260"/>
      <c r="AQ37" s="260"/>
      <c r="AR37" s="256">
        <f>IF(ROUNDDOWN(AM34+AM35+AM36,-2)&gt;='計算基準（非公開）'!E7,'計算基準（非公開）'!E7,ROUNDDOWN(AM34+AM35+AM36,-2))</f>
        <v>0</v>
      </c>
      <c r="AS37" s="256"/>
      <c r="AT37" s="256"/>
      <c r="AU37" s="256"/>
      <c r="AV37" s="256"/>
      <c r="AW37" s="256"/>
      <c r="AX37" s="212" t="str">
        <f>IF(AR37="","","円")</f>
        <v>円</v>
      </c>
      <c r="AY37" s="199"/>
      <c r="AZ37" s="199"/>
    </row>
    <row r="38" spans="1:52" ht="37.5" customHeight="1" thickBot="1" x14ac:dyDescent="0.2">
      <c r="A38" s="199"/>
      <c r="B38" s="199"/>
      <c r="C38" s="294" t="s">
        <v>159</v>
      </c>
      <c r="D38" s="295"/>
      <c r="E38" s="295"/>
      <c r="F38" s="295"/>
      <c r="G38" s="295"/>
      <c r="H38" s="295"/>
      <c r="I38" s="295"/>
      <c r="J38" s="295"/>
      <c r="K38" s="295"/>
      <c r="L38" s="295"/>
      <c r="M38" s="295"/>
      <c r="N38" s="295"/>
      <c r="O38" s="295"/>
      <c r="P38" s="295"/>
      <c r="Q38" s="295"/>
      <c r="R38" s="295"/>
      <c r="S38" s="295"/>
      <c r="T38" s="295"/>
      <c r="U38" s="295"/>
      <c r="V38" s="295"/>
      <c r="W38" s="295"/>
      <c r="X38" s="295"/>
      <c r="Y38" s="295"/>
      <c r="Z38" s="295"/>
      <c r="AA38" s="295"/>
      <c r="AB38" s="295"/>
      <c r="AC38" s="295"/>
      <c r="AD38" s="295"/>
      <c r="AE38" s="295"/>
      <c r="AF38" s="295"/>
      <c r="AG38" s="295"/>
      <c r="AH38" s="295"/>
      <c r="AI38" s="295"/>
      <c r="AJ38" s="295"/>
      <c r="AK38" s="295"/>
      <c r="AL38" s="296"/>
      <c r="AM38" s="297">
        <f>T37+AF37+AR37</f>
        <v>0</v>
      </c>
      <c r="AN38" s="297"/>
      <c r="AO38" s="297"/>
      <c r="AP38" s="297"/>
      <c r="AQ38" s="297"/>
      <c r="AR38" s="297"/>
      <c r="AS38" s="297"/>
      <c r="AT38" s="297"/>
      <c r="AU38" s="297"/>
      <c r="AV38" s="297"/>
      <c r="AW38" s="298"/>
      <c r="AX38" s="212" t="str">
        <f t="shared" si="2"/>
        <v>円</v>
      </c>
      <c r="AY38" s="199"/>
      <c r="AZ38" s="199"/>
    </row>
    <row r="39" spans="1:52" ht="37.5" customHeight="1" x14ac:dyDescent="0.15">
      <c r="A39" s="199"/>
      <c r="B39" s="199"/>
      <c r="C39" s="199"/>
      <c r="D39" s="199"/>
      <c r="E39" s="199"/>
      <c r="F39" s="199"/>
      <c r="G39" s="199"/>
      <c r="H39" s="199"/>
      <c r="I39" s="199"/>
      <c r="J39" s="199"/>
      <c r="K39" s="199"/>
      <c r="L39" s="199"/>
      <c r="M39" s="199"/>
      <c r="N39" s="199"/>
      <c r="O39" s="199"/>
      <c r="P39" s="199"/>
      <c r="Q39" s="199"/>
      <c r="R39" s="199"/>
      <c r="S39" s="199"/>
      <c r="T39" s="199"/>
      <c r="U39" s="199"/>
      <c r="V39" s="199"/>
      <c r="W39" s="199"/>
      <c r="X39" s="199"/>
      <c r="Y39" s="199"/>
      <c r="Z39" s="199"/>
      <c r="AA39" s="288" t="s">
        <v>83</v>
      </c>
      <c r="AB39" s="289"/>
      <c r="AC39" s="289"/>
      <c r="AD39" s="289"/>
      <c r="AE39" s="289"/>
      <c r="AF39" s="289"/>
      <c r="AG39" s="289"/>
      <c r="AH39" s="289"/>
      <c r="AI39" s="289"/>
      <c r="AJ39" s="289"/>
      <c r="AK39" s="289"/>
      <c r="AL39" s="290"/>
      <c r="AM39" s="284">
        <f>AM38/12</f>
        <v>0</v>
      </c>
      <c r="AN39" s="285"/>
      <c r="AO39" s="285"/>
      <c r="AP39" s="285"/>
      <c r="AQ39" s="285"/>
      <c r="AR39" s="285"/>
      <c r="AS39" s="285"/>
      <c r="AT39" s="285"/>
      <c r="AU39" s="285"/>
      <c r="AV39" s="285"/>
      <c r="AW39" s="285"/>
      <c r="AX39" s="213" t="str">
        <f t="shared" si="2"/>
        <v>円</v>
      </c>
      <c r="AY39" s="199"/>
      <c r="AZ39" s="199"/>
    </row>
    <row r="40" spans="1:52" ht="37.5" customHeight="1" thickBot="1" x14ac:dyDescent="0.2">
      <c r="A40" s="199"/>
      <c r="B40" s="199"/>
      <c r="C40" s="199"/>
      <c r="D40" s="199"/>
      <c r="E40" s="199"/>
      <c r="F40" s="199"/>
      <c r="G40" s="199"/>
      <c r="H40" s="199"/>
      <c r="I40" s="199"/>
      <c r="J40" s="199"/>
      <c r="K40" s="199"/>
      <c r="L40" s="199"/>
      <c r="M40" s="199"/>
      <c r="N40" s="199"/>
      <c r="O40" s="199"/>
      <c r="P40" s="199"/>
      <c r="Q40" s="199"/>
      <c r="R40" s="199"/>
      <c r="S40" s="199"/>
      <c r="T40" s="199"/>
      <c r="U40" s="199"/>
      <c r="V40" s="199"/>
      <c r="W40" s="199"/>
      <c r="X40" s="199"/>
      <c r="Y40" s="199"/>
      <c r="Z40" s="199"/>
      <c r="AA40" s="291" t="s">
        <v>84</v>
      </c>
      <c r="AB40" s="292"/>
      <c r="AC40" s="292"/>
      <c r="AD40" s="292"/>
      <c r="AE40" s="292"/>
      <c r="AF40" s="292"/>
      <c r="AG40" s="292"/>
      <c r="AH40" s="292"/>
      <c r="AI40" s="292"/>
      <c r="AJ40" s="292"/>
      <c r="AK40" s="292"/>
      <c r="AL40" s="293"/>
      <c r="AM40" s="286">
        <f>AM38/9</f>
        <v>0</v>
      </c>
      <c r="AN40" s="287"/>
      <c r="AO40" s="287"/>
      <c r="AP40" s="287"/>
      <c r="AQ40" s="287"/>
      <c r="AR40" s="287"/>
      <c r="AS40" s="287"/>
      <c r="AT40" s="287"/>
      <c r="AU40" s="287"/>
      <c r="AV40" s="287"/>
      <c r="AW40" s="287"/>
      <c r="AX40" s="214" t="str">
        <f t="shared" si="2"/>
        <v>円</v>
      </c>
      <c r="AY40" s="199"/>
      <c r="AZ40" s="199"/>
    </row>
    <row r="41" spans="1:52" ht="5.25" customHeight="1" x14ac:dyDescent="0.15">
      <c r="A41" s="199"/>
      <c r="B41" s="199"/>
      <c r="C41" s="199"/>
      <c r="D41" s="199"/>
      <c r="E41" s="199"/>
      <c r="F41" s="199"/>
      <c r="G41" s="199"/>
      <c r="H41" s="199"/>
      <c r="I41" s="199"/>
      <c r="J41" s="199"/>
      <c r="K41" s="199"/>
      <c r="L41" s="199"/>
      <c r="M41" s="199"/>
      <c r="N41" s="199"/>
      <c r="O41" s="199"/>
      <c r="P41" s="199"/>
      <c r="Q41" s="199"/>
      <c r="R41" s="199"/>
      <c r="S41" s="199"/>
      <c r="T41" s="199"/>
      <c r="U41" s="199"/>
      <c r="V41" s="199"/>
      <c r="W41" s="199"/>
      <c r="X41" s="199"/>
      <c r="Y41" s="199"/>
      <c r="Z41" s="199"/>
      <c r="AA41" s="199"/>
      <c r="AB41" s="199"/>
      <c r="AC41" s="199"/>
      <c r="AD41" s="199"/>
      <c r="AE41" s="199"/>
      <c r="AF41" s="199"/>
      <c r="AG41" s="199"/>
      <c r="AH41" s="199"/>
      <c r="AI41" s="199"/>
      <c r="AJ41" s="199"/>
      <c r="AK41" s="199"/>
      <c r="AL41" s="199"/>
      <c r="AM41" s="199"/>
      <c r="AN41" s="199"/>
      <c r="AO41" s="199"/>
      <c r="AP41" s="199"/>
      <c r="AQ41" s="199"/>
      <c r="AR41" s="199"/>
      <c r="AS41" s="199"/>
      <c r="AT41" s="199"/>
      <c r="AU41" s="199"/>
      <c r="AV41" s="199"/>
      <c r="AW41" s="199"/>
      <c r="AX41" s="199"/>
      <c r="AY41" s="199"/>
      <c r="AZ41" s="199"/>
    </row>
    <row r="42" spans="1:52" ht="22.5" customHeight="1" x14ac:dyDescent="0.15">
      <c r="A42" s="199"/>
      <c r="B42" s="199"/>
      <c r="C42" s="215" t="str">
        <f>IF(ISNA(IF(VLOOKUP("○",'計算基準（非公開）'!G33:K36,5,FALSE)=0,"",VLOOKUP("○",'計算基準（非公開）'!G33:K36,5,FALSE)))=TRUE,"",IF(VLOOKUP("○",'計算基準（非公開）'!G33:K36,5,FALSE)=0,"",VLOOKUP("○",'計算基準（非公開）'!G33:K36,5,FALSE)))</f>
        <v/>
      </c>
      <c r="D42" s="199"/>
      <c r="E42" s="199"/>
      <c r="F42" s="199"/>
      <c r="G42" s="199"/>
      <c r="H42" s="199"/>
      <c r="I42" s="199"/>
      <c r="J42" s="199"/>
      <c r="K42" s="199"/>
      <c r="L42" s="199"/>
      <c r="M42" s="199"/>
      <c r="N42" s="199"/>
      <c r="O42" s="199"/>
      <c r="P42" s="199"/>
      <c r="Q42" s="199"/>
      <c r="R42" s="199"/>
      <c r="S42" s="199"/>
      <c r="T42" s="199"/>
      <c r="U42" s="199"/>
      <c r="V42" s="199"/>
      <c r="W42" s="199"/>
      <c r="X42" s="199"/>
      <c r="Y42" s="199"/>
      <c r="Z42" s="199"/>
      <c r="AA42" s="199"/>
      <c r="AB42" s="199"/>
      <c r="AC42" s="199"/>
      <c r="AD42" s="199"/>
      <c r="AE42" s="199"/>
      <c r="AF42" s="199"/>
      <c r="AG42" s="199"/>
      <c r="AH42" s="199"/>
      <c r="AI42" s="199"/>
      <c r="AJ42" s="199"/>
      <c r="AK42" s="199"/>
      <c r="AL42" s="199"/>
      <c r="AM42" s="199"/>
      <c r="AN42" s="199"/>
      <c r="AO42" s="199"/>
      <c r="AP42" s="199"/>
      <c r="AQ42" s="199"/>
      <c r="AR42" s="199"/>
      <c r="AS42" s="199"/>
      <c r="AT42" s="199"/>
      <c r="AU42" s="199"/>
      <c r="AV42" s="199"/>
      <c r="AW42" s="199"/>
      <c r="AX42" s="199"/>
      <c r="AY42" s="199"/>
      <c r="AZ42" s="199"/>
    </row>
    <row r="43" spans="1:52" ht="22.5" customHeight="1" x14ac:dyDescent="0.15">
      <c r="A43" s="199"/>
      <c r="B43" s="199"/>
      <c r="C43" s="215" t="str">
        <f>IF('計算基準（非公開）'!L28=0,"","未就学児にかかる均等割額の減額を適用しています。")</f>
        <v/>
      </c>
      <c r="D43" s="199"/>
      <c r="E43" s="199"/>
      <c r="F43" s="199"/>
      <c r="G43" s="199"/>
      <c r="H43" s="199"/>
      <c r="I43" s="199"/>
      <c r="J43" s="199"/>
      <c r="K43" s="199"/>
      <c r="L43" s="199"/>
      <c r="M43" s="199"/>
      <c r="N43" s="199"/>
      <c r="O43" s="199"/>
      <c r="P43" s="199"/>
      <c r="Q43" s="199"/>
      <c r="R43" s="199"/>
      <c r="S43" s="199"/>
      <c r="T43" s="199"/>
      <c r="U43" s="199"/>
      <c r="V43" s="199"/>
      <c r="W43" s="199"/>
      <c r="X43" s="199"/>
      <c r="Y43" s="199"/>
      <c r="Z43" s="199"/>
      <c r="AA43" s="199"/>
      <c r="AB43" s="199"/>
      <c r="AC43" s="199"/>
      <c r="AD43" s="199"/>
      <c r="AE43" s="199"/>
      <c r="AF43" s="199"/>
      <c r="AG43" s="199"/>
      <c r="AH43" s="199"/>
      <c r="AI43" s="199"/>
      <c r="AJ43" s="199"/>
      <c r="AK43" s="199"/>
      <c r="AL43" s="199"/>
      <c r="AM43" s="199"/>
      <c r="AN43" s="199"/>
      <c r="AO43" s="199"/>
      <c r="AP43" s="199"/>
      <c r="AQ43" s="199"/>
      <c r="AR43" s="199"/>
      <c r="AS43" s="199"/>
      <c r="AT43" s="199"/>
      <c r="AU43" s="199"/>
      <c r="AV43" s="199"/>
      <c r="AW43" s="199"/>
      <c r="AX43" s="199"/>
      <c r="AY43" s="199"/>
      <c r="AZ43" s="199"/>
    </row>
    <row r="44" spans="1:52" ht="22.5" customHeight="1" x14ac:dyDescent="0.15">
      <c r="A44" s="199"/>
      <c r="B44" s="199"/>
      <c r="C44" s="215" t="str">
        <f>'計算基準（非公開）'!G9</f>
        <v/>
      </c>
      <c r="D44" s="199"/>
      <c r="E44" s="199"/>
      <c r="F44" s="199"/>
      <c r="G44" s="199"/>
      <c r="H44" s="199"/>
      <c r="I44" s="199"/>
      <c r="J44" s="199"/>
      <c r="K44" s="199"/>
      <c r="L44" s="199"/>
      <c r="M44" s="199"/>
      <c r="N44" s="199"/>
      <c r="O44" s="199"/>
      <c r="P44" s="199"/>
      <c r="Q44" s="199"/>
      <c r="R44" s="199"/>
      <c r="S44" s="199"/>
      <c r="T44" s="199"/>
      <c r="U44" s="199"/>
      <c r="V44" s="199"/>
      <c r="W44" s="199"/>
      <c r="X44" s="199"/>
      <c r="Y44" s="199"/>
      <c r="Z44" s="199"/>
      <c r="AA44" s="199"/>
      <c r="AB44" s="199"/>
      <c r="AC44" s="199"/>
      <c r="AD44" s="199"/>
      <c r="AE44" s="199"/>
      <c r="AF44" s="199"/>
      <c r="AG44" s="199"/>
      <c r="AH44" s="199"/>
      <c r="AI44" s="199"/>
      <c r="AJ44" s="199"/>
      <c r="AK44" s="199"/>
      <c r="AL44" s="199"/>
      <c r="AM44" s="199"/>
      <c r="AN44" s="199"/>
      <c r="AO44" s="199"/>
      <c r="AP44" s="199"/>
      <c r="AQ44" s="199"/>
      <c r="AR44" s="199"/>
      <c r="AS44" s="199"/>
      <c r="AT44" s="199"/>
      <c r="AU44" s="199"/>
      <c r="AV44" s="199"/>
      <c r="AW44" s="199"/>
      <c r="AX44" s="199"/>
      <c r="AY44" s="199"/>
      <c r="AZ44" s="199"/>
    </row>
    <row r="45" spans="1:52" ht="13.5" customHeight="1" x14ac:dyDescent="0.15">
      <c r="A45" s="199"/>
      <c r="B45" s="199"/>
      <c r="C45" s="215"/>
      <c r="D45" s="199"/>
      <c r="E45" s="199"/>
      <c r="F45" s="199"/>
      <c r="G45" s="199"/>
      <c r="H45" s="199"/>
      <c r="I45" s="199"/>
      <c r="J45" s="199"/>
      <c r="K45" s="199"/>
      <c r="L45" s="199"/>
      <c r="M45" s="199"/>
      <c r="N45" s="199"/>
      <c r="O45" s="199"/>
      <c r="P45" s="199"/>
      <c r="Q45" s="199"/>
      <c r="R45" s="199"/>
      <c r="S45" s="199"/>
      <c r="T45" s="199"/>
      <c r="U45" s="199"/>
      <c r="V45" s="199"/>
      <c r="W45" s="199"/>
      <c r="X45" s="199"/>
      <c r="Y45" s="199"/>
      <c r="Z45" s="199"/>
      <c r="AA45" s="199"/>
      <c r="AB45" s="199"/>
      <c r="AC45" s="199"/>
      <c r="AD45" s="199"/>
      <c r="AE45" s="199"/>
      <c r="AF45" s="199"/>
      <c r="AG45" s="199"/>
      <c r="AH45" s="199"/>
      <c r="AI45" s="199"/>
      <c r="AJ45" s="199"/>
      <c r="AK45" s="199"/>
      <c r="AL45" s="199"/>
      <c r="AM45" s="199"/>
      <c r="AN45" s="199"/>
      <c r="AO45" s="199"/>
      <c r="AP45" s="199"/>
      <c r="AQ45" s="199"/>
      <c r="AR45" s="199"/>
      <c r="AS45" s="199"/>
      <c r="AT45" s="199"/>
      <c r="AU45" s="199"/>
      <c r="AV45" s="199"/>
      <c r="AW45" s="199"/>
      <c r="AX45" s="199"/>
      <c r="AY45" s="199"/>
      <c r="AZ45" s="199"/>
    </row>
    <row r="46" spans="1:52" x14ac:dyDescent="0.15">
      <c r="A46" s="199"/>
      <c r="B46" s="199"/>
      <c r="C46" s="199"/>
      <c r="D46" s="199"/>
      <c r="E46" s="199"/>
      <c r="F46" s="199"/>
      <c r="G46" s="199"/>
      <c r="H46" s="199"/>
      <c r="I46" s="199"/>
      <c r="J46" s="199"/>
      <c r="K46" s="199"/>
      <c r="L46" s="199"/>
      <c r="M46" s="199"/>
      <c r="N46" s="199"/>
      <c r="O46" s="199"/>
      <c r="P46" s="199"/>
      <c r="Q46" s="199"/>
      <c r="R46" s="199"/>
      <c r="S46" s="199"/>
      <c r="T46" s="199"/>
      <c r="U46" s="199"/>
      <c r="V46" s="199"/>
      <c r="W46" s="199"/>
      <c r="X46" s="199"/>
      <c r="Y46" s="199"/>
      <c r="Z46" s="199"/>
      <c r="AA46" s="199"/>
      <c r="AB46" s="199"/>
      <c r="AC46" s="199"/>
      <c r="AD46" s="199"/>
      <c r="AE46" s="199"/>
      <c r="AF46" s="199"/>
      <c r="AG46" s="199"/>
      <c r="AH46" s="199"/>
      <c r="AI46" s="199"/>
      <c r="AJ46" s="199"/>
      <c r="AK46" s="199"/>
      <c r="AL46" s="199"/>
      <c r="AM46" s="199"/>
      <c r="AN46" s="199"/>
      <c r="AO46" s="199"/>
      <c r="AP46" s="199"/>
      <c r="AQ46" s="199"/>
      <c r="AR46" s="199"/>
      <c r="AS46" s="199"/>
      <c r="AT46" s="199"/>
      <c r="AU46" s="199"/>
      <c r="AV46" s="199"/>
      <c r="AW46" s="199"/>
      <c r="AX46" s="199"/>
      <c r="AY46" s="199"/>
      <c r="AZ46" s="199"/>
    </row>
    <row r="47" spans="1:52" x14ac:dyDescent="0.15">
      <c r="A47" s="199"/>
      <c r="B47" s="199"/>
      <c r="C47" s="199"/>
      <c r="D47" s="199"/>
      <c r="E47" s="199"/>
      <c r="F47" s="199"/>
      <c r="G47" s="199"/>
      <c r="H47" s="199"/>
      <c r="I47" s="199"/>
      <c r="J47" s="199"/>
      <c r="K47" s="199"/>
      <c r="L47" s="199"/>
      <c r="M47" s="199"/>
      <c r="N47" s="199"/>
      <c r="O47" s="199"/>
      <c r="P47" s="199"/>
      <c r="Q47" s="199"/>
      <c r="R47" s="199"/>
      <c r="S47" s="199"/>
      <c r="T47" s="199"/>
      <c r="U47" s="199"/>
      <c r="V47" s="199"/>
      <c r="W47" s="199"/>
      <c r="X47" s="199"/>
      <c r="Y47" s="199"/>
      <c r="Z47" s="199"/>
      <c r="AA47" s="199"/>
      <c r="AB47" s="199"/>
      <c r="AC47" s="199"/>
      <c r="AD47" s="199"/>
      <c r="AE47" s="199"/>
      <c r="AF47" s="199"/>
      <c r="AG47" s="199"/>
      <c r="AH47" s="199"/>
      <c r="AI47" s="199"/>
      <c r="AJ47" s="199"/>
      <c r="AK47" s="199"/>
      <c r="AL47" s="199"/>
      <c r="AM47" s="199"/>
      <c r="AN47" s="199"/>
      <c r="AO47" s="199"/>
      <c r="AP47" s="199"/>
      <c r="AQ47" s="199"/>
      <c r="AR47" s="199"/>
      <c r="AS47" s="199"/>
      <c r="AT47" s="199"/>
      <c r="AU47" s="199"/>
      <c r="AV47" s="199"/>
      <c r="AW47" s="199"/>
      <c r="AX47" s="199"/>
      <c r="AY47" s="199"/>
      <c r="AZ47" s="199"/>
    </row>
    <row r="48" spans="1:52" x14ac:dyDescent="0.15">
      <c r="A48" s="199"/>
      <c r="B48" s="199"/>
      <c r="C48" s="199"/>
      <c r="D48" s="199"/>
      <c r="E48" s="199"/>
      <c r="F48" s="199"/>
      <c r="G48" s="199"/>
      <c r="H48" s="199"/>
      <c r="I48" s="199"/>
      <c r="J48" s="199"/>
      <c r="K48" s="199"/>
      <c r="L48" s="199"/>
      <c r="M48" s="199"/>
      <c r="N48" s="199"/>
      <c r="O48" s="199"/>
      <c r="P48" s="199"/>
      <c r="Q48" s="199"/>
      <c r="R48" s="199"/>
      <c r="S48" s="199"/>
      <c r="T48" s="199"/>
      <c r="U48" s="199"/>
      <c r="V48" s="199"/>
      <c r="W48" s="199"/>
      <c r="X48" s="199"/>
      <c r="Y48" s="199"/>
      <c r="Z48" s="199"/>
      <c r="AA48" s="199"/>
      <c r="AB48" s="199"/>
      <c r="AC48" s="199"/>
      <c r="AD48" s="199"/>
      <c r="AE48" s="199"/>
      <c r="AF48" s="199"/>
      <c r="AG48" s="199"/>
      <c r="AH48" s="199"/>
      <c r="AI48" s="199"/>
      <c r="AJ48" s="199"/>
      <c r="AK48" s="199"/>
      <c r="AL48" s="199"/>
      <c r="AM48" s="199"/>
      <c r="AN48" s="199"/>
      <c r="AO48" s="199"/>
      <c r="AP48" s="199"/>
      <c r="AQ48" s="199"/>
      <c r="AR48" s="199"/>
      <c r="AS48" s="199"/>
      <c r="AT48" s="199"/>
      <c r="AU48" s="199"/>
      <c r="AV48" s="199"/>
      <c r="AW48" s="199"/>
      <c r="AX48" s="199"/>
      <c r="AY48" s="199"/>
      <c r="AZ48" s="199"/>
    </row>
    <row r="49" spans="1:52" x14ac:dyDescent="0.15">
      <c r="A49" s="199"/>
      <c r="B49" s="199"/>
      <c r="C49" s="199"/>
      <c r="D49" s="199"/>
      <c r="E49" s="199"/>
      <c r="F49" s="199"/>
      <c r="G49" s="199"/>
      <c r="H49" s="199"/>
      <c r="I49" s="199"/>
      <c r="J49" s="199"/>
      <c r="K49" s="199"/>
      <c r="L49" s="199"/>
      <c r="M49" s="199"/>
      <c r="N49" s="199"/>
      <c r="O49" s="199"/>
      <c r="P49" s="199"/>
      <c r="Q49" s="199"/>
      <c r="R49" s="199"/>
      <c r="S49" s="199"/>
      <c r="T49" s="199"/>
      <c r="U49" s="199"/>
      <c r="V49" s="199"/>
      <c r="W49" s="199"/>
      <c r="X49" s="199"/>
      <c r="Y49" s="199"/>
      <c r="Z49" s="199"/>
      <c r="AA49" s="199"/>
      <c r="AB49" s="199"/>
      <c r="AC49" s="199"/>
      <c r="AD49" s="199"/>
      <c r="AE49" s="199"/>
      <c r="AF49" s="199"/>
      <c r="AG49" s="199"/>
      <c r="AH49" s="199"/>
      <c r="AI49" s="199"/>
      <c r="AJ49" s="199"/>
      <c r="AK49" s="199"/>
      <c r="AL49" s="199"/>
      <c r="AM49" s="199"/>
      <c r="AN49" s="199"/>
      <c r="AO49" s="199"/>
      <c r="AP49" s="199"/>
      <c r="AQ49" s="199"/>
      <c r="AR49" s="199"/>
      <c r="AS49" s="199"/>
      <c r="AT49" s="199"/>
      <c r="AU49" s="199"/>
      <c r="AV49" s="199"/>
      <c r="AW49" s="199"/>
      <c r="AX49" s="199"/>
      <c r="AY49" s="199"/>
      <c r="AZ49" s="199"/>
    </row>
    <row r="50" spans="1:52" x14ac:dyDescent="0.15">
      <c r="A50" s="199"/>
      <c r="B50" s="199"/>
      <c r="C50" s="199"/>
      <c r="D50" s="199"/>
      <c r="E50" s="199"/>
      <c r="F50" s="199"/>
      <c r="G50" s="199"/>
      <c r="H50" s="199"/>
      <c r="I50" s="199"/>
      <c r="J50" s="199"/>
      <c r="K50" s="199"/>
      <c r="L50" s="199"/>
      <c r="M50" s="199"/>
      <c r="N50" s="199"/>
      <c r="O50" s="199"/>
      <c r="P50" s="199"/>
      <c r="Q50" s="199"/>
      <c r="R50" s="199"/>
      <c r="S50" s="199"/>
      <c r="T50" s="199"/>
      <c r="U50" s="199"/>
      <c r="V50" s="199"/>
      <c r="W50" s="199"/>
      <c r="X50" s="199"/>
      <c r="Y50" s="199"/>
      <c r="Z50" s="199"/>
      <c r="AA50" s="199"/>
      <c r="AB50" s="199"/>
      <c r="AC50" s="199"/>
      <c r="AD50" s="199"/>
      <c r="AE50" s="199"/>
      <c r="AF50" s="199"/>
      <c r="AG50" s="199"/>
      <c r="AH50" s="199"/>
      <c r="AI50" s="199"/>
      <c r="AJ50" s="199"/>
      <c r="AK50" s="199"/>
      <c r="AL50" s="199"/>
      <c r="AM50" s="199"/>
      <c r="AN50" s="199"/>
      <c r="AO50" s="199"/>
      <c r="AP50" s="199"/>
      <c r="AQ50" s="199"/>
      <c r="AR50" s="199"/>
      <c r="AS50" s="199"/>
      <c r="AT50" s="199"/>
      <c r="AU50" s="199"/>
      <c r="AV50" s="199"/>
      <c r="AW50" s="199"/>
      <c r="AX50" s="199"/>
      <c r="AY50" s="199"/>
      <c r="AZ50" s="199"/>
    </row>
    <row r="51" spans="1:52" x14ac:dyDescent="0.15">
      <c r="A51" s="199"/>
      <c r="B51" s="199"/>
      <c r="C51" s="199"/>
      <c r="D51" s="199"/>
      <c r="E51" s="199"/>
      <c r="F51" s="199"/>
      <c r="G51" s="199"/>
      <c r="H51" s="199"/>
      <c r="I51" s="199"/>
      <c r="J51" s="199"/>
      <c r="K51" s="199"/>
      <c r="L51" s="199"/>
      <c r="M51" s="199"/>
      <c r="N51" s="199"/>
      <c r="O51" s="199"/>
      <c r="P51" s="199"/>
      <c r="Q51" s="199"/>
      <c r="R51" s="199"/>
      <c r="S51" s="199"/>
      <c r="T51" s="199"/>
      <c r="U51" s="199"/>
      <c r="V51" s="199"/>
      <c r="W51" s="199"/>
      <c r="X51" s="199"/>
      <c r="Y51" s="199"/>
      <c r="Z51" s="199"/>
      <c r="AA51" s="199"/>
      <c r="AB51" s="199"/>
      <c r="AC51" s="199"/>
      <c r="AD51" s="199"/>
      <c r="AE51" s="199"/>
      <c r="AF51" s="199"/>
      <c r="AG51" s="199"/>
      <c r="AH51" s="199"/>
      <c r="AI51" s="199"/>
      <c r="AJ51" s="199"/>
      <c r="AK51" s="199"/>
      <c r="AL51" s="199"/>
      <c r="AM51" s="199"/>
      <c r="AN51" s="199"/>
      <c r="AO51" s="199"/>
      <c r="AP51" s="199"/>
      <c r="AQ51" s="199"/>
      <c r="AR51" s="199"/>
      <c r="AS51" s="199"/>
      <c r="AT51" s="199"/>
      <c r="AU51" s="199"/>
      <c r="AV51" s="199"/>
      <c r="AW51" s="199"/>
      <c r="AX51" s="199"/>
      <c r="AY51" s="199"/>
      <c r="AZ51" s="199"/>
    </row>
    <row r="52" spans="1:52" x14ac:dyDescent="0.15">
      <c r="A52" s="199"/>
      <c r="B52" s="199"/>
      <c r="C52" s="199"/>
      <c r="D52" s="199"/>
      <c r="E52" s="199"/>
      <c r="F52" s="199"/>
      <c r="G52" s="199"/>
      <c r="H52" s="199"/>
      <c r="I52" s="199"/>
      <c r="J52" s="199"/>
      <c r="K52" s="199"/>
      <c r="L52" s="199"/>
      <c r="M52" s="199"/>
      <c r="N52" s="199"/>
      <c r="O52" s="199"/>
      <c r="P52" s="199"/>
      <c r="Q52" s="199"/>
      <c r="R52" s="199"/>
      <c r="S52" s="199"/>
      <c r="T52" s="199"/>
      <c r="U52" s="199"/>
      <c r="V52" s="199"/>
      <c r="W52" s="199"/>
      <c r="X52" s="199"/>
      <c r="Y52" s="199"/>
      <c r="Z52" s="199"/>
      <c r="AA52" s="199"/>
      <c r="AB52" s="199"/>
      <c r="AC52" s="199"/>
      <c r="AD52" s="199"/>
      <c r="AE52" s="199"/>
      <c r="AF52" s="199"/>
      <c r="AG52" s="199"/>
      <c r="AH52" s="199"/>
      <c r="AI52" s="199"/>
      <c r="AJ52" s="199"/>
      <c r="AK52" s="199"/>
      <c r="AL52" s="199"/>
      <c r="AM52" s="199"/>
      <c r="AN52" s="199"/>
      <c r="AO52" s="199"/>
      <c r="AP52" s="199"/>
      <c r="AQ52" s="199"/>
      <c r="AR52" s="199"/>
      <c r="AS52" s="199"/>
      <c r="AT52" s="199"/>
      <c r="AU52" s="199"/>
      <c r="AV52" s="199"/>
      <c r="AW52" s="199"/>
      <c r="AX52" s="199"/>
      <c r="AY52" s="199"/>
      <c r="AZ52" s="199"/>
    </row>
    <row r="53" spans="1:52" x14ac:dyDescent="0.15">
      <c r="A53" s="199"/>
      <c r="B53" s="199"/>
      <c r="C53" s="199"/>
      <c r="D53" s="199"/>
      <c r="E53" s="199"/>
      <c r="F53" s="199"/>
      <c r="G53" s="199"/>
      <c r="H53" s="199"/>
      <c r="I53" s="199"/>
      <c r="J53" s="199"/>
      <c r="K53" s="199"/>
      <c r="L53" s="199"/>
      <c r="M53" s="199"/>
      <c r="N53" s="199"/>
      <c r="O53" s="199"/>
      <c r="P53" s="199"/>
      <c r="Q53" s="199"/>
      <c r="R53" s="199"/>
      <c r="S53" s="199"/>
      <c r="T53" s="199"/>
      <c r="U53" s="199"/>
      <c r="V53" s="199"/>
      <c r="W53" s="199"/>
      <c r="X53" s="199"/>
      <c r="Y53" s="199"/>
      <c r="Z53" s="199"/>
      <c r="AA53" s="199"/>
      <c r="AB53" s="199"/>
      <c r="AC53" s="199"/>
      <c r="AD53" s="199"/>
      <c r="AE53" s="199"/>
      <c r="AF53" s="199"/>
      <c r="AG53" s="199"/>
      <c r="AH53" s="199"/>
      <c r="AI53" s="199"/>
      <c r="AJ53" s="199"/>
      <c r="AK53" s="199"/>
      <c r="AL53" s="199"/>
      <c r="AM53" s="199"/>
      <c r="AN53" s="199"/>
      <c r="AO53" s="199"/>
      <c r="AP53" s="199"/>
      <c r="AQ53" s="199"/>
      <c r="AR53" s="199"/>
      <c r="AS53" s="199"/>
      <c r="AT53" s="199"/>
      <c r="AU53" s="199"/>
      <c r="AV53" s="199"/>
      <c r="AW53" s="199"/>
      <c r="AX53" s="199"/>
      <c r="AY53" s="199"/>
      <c r="AZ53" s="199"/>
    </row>
    <row r="54" spans="1:52" x14ac:dyDescent="0.15">
      <c r="A54" s="199"/>
      <c r="B54" s="199"/>
      <c r="C54" s="199"/>
      <c r="D54" s="199"/>
      <c r="E54" s="199"/>
      <c r="F54" s="199"/>
      <c r="G54" s="199"/>
      <c r="H54" s="199"/>
      <c r="I54" s="199"/>
      <c r="J54" s="199"/>
      <c r="K54" s="199"/>
      <c r="L54" s="199"/>
      <c r="M54" s="199"/>
      <c r="N54" s="199"/>
      <c r="O54" s="199"/>
      <c r="P54" s="199"/>
      <c r="Q54" s="199"/>
      <c r="R54" s="199"/>
      <c r="S54" s="199"/>
      <c r="T54" s="199"/>
      <c r="U54" s="199"/>
      <c r="V54" s="199"/>
      <c r="W54" s="199"/>
      <c r="X54" s="199"/>
      <c r="Y54" s="199"/>
      <c r="Z54" s="199"/>
      <c r="AA54" s="199"/>
      <c r="AB54" s="199"/>
      <c r="AC54" s="199"/>
      <c r="AD54" s="199"/>
      <c r="AE54" s="199"/>
      <c r="AF54" s="199"/>
      <c r="AG54" s="199"/>
      <c r="AH54" s="199"/>
      <c r="AI54" s="199"/>
      <c r="AJ54" s="199"/>
      <c r="AK54" s="199"/>
      <c r="AL54" s="199"/>
      <c r="AM54" s="199"/>
      <c r="AN54" s="199"/>
      <c r="AO54" s="199"/>
      <c r="AP54" s="199"/>
      <c r="AQ54" s="199"/>
      <c r="AR54" s="199"/>
      <c r="AS54" s="199"/>
      <c r="AT54" s="199"/>
      <c r="AU54" s="199"/>
      <c r="AV54" s="199"/>
      <c r="AW54" s="199"/>
      <c r="AX54" s="199"/>
      <c r="AY54" s="199"/>
      <c r="AZ54" s="199"/>
    </row>
    <row r="55" spans="1:52" x14ac:dyDescent="0.15">
      <c r="A55" s="199"/>
      <c r="B55" s="199"/>
      <c r="C55" s="199"/>
      <c r="D55" s="199"/>
      <c r="E55" s="199"/>
      <c r="F55" s="199"/>
      <c r="G55" s="199"/>
      <c r="H55" s="199"/>
      <c r="I55" s="199"/>
      <c r="J55" s="199"/>
      <c r="K55" s="199"/>
      <c r="L55" s="199"/>
      <c r="M55" s="199"/>
      <c r="N55" s="199"/>
      <c r="O55" s="199"/>
      <c r="P55" s="199"/>
      <c r="Q55" s="199"/>
      <c r="R55" s="199"/>
      <c r="S55" s="199"/>
      <c r="T55" s="199"/>
      <c r="U55" s="199"/>
      <c r="V55" s="199"/>
      <c r="W55" s="199"/>
      <c r="X55" s="199"/>
      <c r="Y55" s="199"/>
      <c r="Z55" s="199"/>
      <c r="AA55" s="199"/>
      <c r="AB55" s="199"/>
      <c r="AC55" s="199"/>
      <c r="AD55" s="199"/>
      <c r="AE55" s="199"/>
      <c r="AF55" s="199"/>
      <c r="AG55" s="199"/>
      <c r="AH55" s="199"/>
      <c r="AI55" s="199"/>
      <c r="AJ55" s="199"/>
      <c r="AK55" s="199"/>
      <c r="AL55" s="199"/>
      <c r="AM55" s="199"/>
      <c r="AN55" s="199"/>
      <c r="AO55" s="199"/>
      <c r="AP55" s="199"/>
      <c r="AQ55" s="199"/>
      <c r="AR55" s="199"/>
      <c r="AS55" s="199"/>
      <c r="AT55" s="199"/>
      <c r="AU55" s="199"/>
      <c r="AV55" s="199"/>
      <c r="AW55" s="199"/>
      <c r="AX55" s="199"/>
      <c r="AY55" s="199"/>
      <c r="AZ55" s="199"/>
    </row>
    <row r="56" spans="1:52" x14ac:dyDescent="0.15">
      <c r="A56" s="199"/>
      <c r="B56" s="199"/>
      <c r="C56" s="199"/>
      <c r="D56" s="199"/>
      <c r="E56" s="199"/>
      <c r="F56" s="199"/>
      <c r="G56" s="199"/>
      <c r="H56" s="199"/>
      <c r="I56" s="199"/>
      <c r="J56" s="199"/>
      <c r="K56" s="199"/>
      <c r="L56" s="199"/>
      <c r="M56" s="199"/>
      <c r="N56" s="199"/>
      <c r="O56" s="199"/>
      <c r="P56" s="199"/>
      <c r="Q56" s="199"/>
      <c r="R56" s="199"/>
      <c r="S56" s="199"/>
      <c r="T56" s="199"/>
      <c r="U56" s="199"/>
      <c r="V56" s="199"/>
      <c r="W56" s="199"/>
      <c r="X56" s="199"/>
      <c r="Y56" s="199"/>
      <c r="Z56" s="199"/>
      <c r="AA56" s="199"/>
      <c r="AB56" s="199"/>
      <c r="AC56" s="199"/>
      <c r="AD56" s="199"/>
      <c r="AE56" s="199"/>
      <c r="AF56" s="199"/>
      <c r="AG56" s="199"/>
      <c r="AH56" s="199"/>
      <c r="AI56" s="199"/>
      <c r="AJ56" s="199"/>
      <c r="AK56" s="199"/>
      <c r="AL56" s="199"/>
      <c r="AM56" s="199"/>
      <c r="AN56" s="199"/>
      <c r="AO56" s="199"/>
      <c r="AP56" s="199"/>
      <c r="AQ56" s="199"/>
      <c r="AR56" s="199"/>
      <c r="AS56" s="199"/>
      <c r="AT56" s="199"/>
      <c r="AU56" s="199"/>
      <c r="AV56" s="199"/>
      <c r="AW56" s="199"/>
      <c r="AX56" s="199"/>
      <c r="AY56" s="199"/>
      <c r="AZ56" s="199"/>
    </row>
    <row r="57" spans="1:52" x14ac:dyDescent="0.15">
      <c r="A57" s="199"/>
      <c r="B57" s="199"/>
      <c r="C57" s="199"/>
      <c r="D57" s="199"/>
      <c r="E57" s="199"/>
      <c r="F57" s="199"/>
      <c r="G57" s="199"/>
      <c r="H57" s="199"/>
      <c r="I57" s="199"/>
      <c r="J57" s="199"/>
      <c r="K57" s="199"/>
      <c r="L57" s="199"/>
      <c r="M57" s="199"/>
      <c r="N57" s="199"/>
      <c r="O57" s="199"/>
      <c r="P57" s="199"/>
      <c r="Q57" s="199"/>
      <c r="R57" s="199"/>
      <c r="S57" s="199"/>
      <c r="T57" s="199"/>
      <c r="U57" s="199"/>
      <c r="V57" s="199"/>
      <c r="W57" s="199"/>
      <c r="X57" s="199"/>
      <c r="Y57" s="199"/>
      <c r="Z57" s="199"/>
      <c r="AA57" s="199"/>
      <c r="AB57" s="199"/>
      <c r="AC57" s="199"/>
      <c r="AD57" s="199"/>
      <c r="AE57" s="199"/>
      <c r="AF57" s="199"/>
      <c r="AG57" s="199"/>
      <c r="AH57" s="199"/>
      <c r="AI57" s="199"/>
      <c r="AJ57" s="199"/>
      <c r="AK57" s="199"/>
      <c r="AL57" s="199"/>
      <c r="AM57" s="199"/>
      <c r="AN57" s="199"/>
      <c r="AO57" s="199"/>
      <c r="AP57" s="199"/>
      <c r="AQ57" s="199"/>
      <c r="AR57" s="199"/>
      <c r="AS57" s="199"/>
      <c r="AT57" s="199"/>
      <c r="AU57" s="199"/>
      <c r="AV57" s="199"/>
      <c r="AW57" s="199"/>
      <c r="AX57" s="199"/>
      <c r="AY57" s="199"/>
      <c r="AZ57" s="199"/>
    </row>
    <row r="58" spans="1:52" x14ac:dyDescent="0.15">
      <c r="A58" s="8"/>
      <c r="B58" s="8"/>
      <c r="C58" s="8"/>
      <c r="D58" s="8"/>
      <c r="E58" s="8"/>
      <c r="F58" s="8"/>
      <c r="G58" s="8"/>
      <c r="H58" s="8"/>
      <c r="I58" s="8"/>
      <c r="J58" s="8"/>
      <c r="K58" s="8"/>
      <c r="L58" s="8"/>
      <c r="M58" s="8"/>
      <c r="N58" s="8"/>
      <c r="O58" s="8"/>
      <c r="P58" s="8"/>
      <c r="Q58" s="8"/>
      <c r="R58" s="8"/>
      <c r="S58" s="8"/>
      <c r="T58" s="8"/>
      <c r="U58" s="8"/>
      <c r="V58" s="8"/>
      <c r="W58" s="8"/>
      <c r="X58" s="8"/>
      <c r="Y58" s="8"/>
      <c r="Z58" s="8"/>
      <c r="AA58" s="8"/>
      <c r="AB58" s="8"/>
      <c r="AC58" s="8"/>
      <c r="AD58" s="8"/>
      <c r="AE58" s="8"/>
      <c r="AF58" s="8"/>
      <c r="AG58" s="8"/>
      <c r="AH58" s="8"/>
      <c r="AI58" s="8"/>
      <c r="AJ58" s="8"/>
      <c r="AK58" s="8"/>
      <c r="AL58" s="8"/>
      <c r="AM58" s="8"/>
      <c r="AN58" s="8"/>
      <c r="AO58" s="8"/>
      <c r="AP58" s="8"/>
      <c r="AQ58" s="8"/>
      <c r="AR58" s="8"/>
      <c r="AS58" s="8"/>
      <c r="AT58" s="8"/>
      <c r="AU58" s="8"/>
      <c r="AV58" s="8"/>
      <c r="AW58" s="8"/>
      <c r="AX58" s="8"/>
      <c r="AY58" s="8"/>
      <c r="AZ58" s="8"/>
    </row>
  </sheetData>
  <sheetProtection algorithmName="SHA-512" hashValue="bmxyUtm3oGHZMrb0z6/qet+dHLLkoKsQB8jKu2R3d5g7mM4H+LbvwPsHGcASnwf23/LoMjkjyP3tS7NxDYs7Xg==" saltValue="8MAzjKWCVycqpJMA3a7zpw==" spinCount="100000" sheet="1" objects="1" scenarios="1" selectLockedCells="1"/>
  <mergeCells count="82">
    <mergeCell ref="AM37:AQ37"/>
    <mergeCell ref="AA26:AG26"/>
    <mergeCell ref="AA27:AG27"/>
    <mergeCell ref="AA28:AG28"/>
    <mergeCell ref="AA29:AG29"/>
    <mergeCell ref="AM33:AX33"/>
    <mergeCell ref="AQ30:AX30"/>
    <mergeCell ref="AI30:AO30"/>
    <mergeCell ref="AA33:AL33"/>
    <mergeCell ref="AA30:AG30"/>
    <mergeCell ref="AM34:AW34"/>
    <mergeCell ref="AM35:AW35"/>
    <mergeCell ref="AM36:AW36"/>
    <mergeCell ref="AR37:AW37"/>
    <mergeCell ref="AQ25:AX25"/>
    <mergeCell ref="AQ26:AX26"/>
    <mergeCell ref="AQ27:AX27"/>
    <mergeCell ref="AQ28:AX28"/>
    <mergeCell ref="AQ29:AX29"/>
    <mergeCell ref="AI25:AO25"/>
    <mergeCell ref="AI26:AO26"/>
    <mergeCell ref="AI27:AO27"/>
    <mergeCell ref="AI28:AO28"/>
    <mergeCell ref="AI29:AO29"/>
    <mergeCell ref="AA25:AG25"/>
    <mergeCell ref="AM39:AW39"/>
    <mergeCell ref="AM40:AW40"/>
    <mergeCell ref="AA39:AL39"/>
    <mergeCell ref="AA40:AL40"/>
    <mergeCell ref="C38:AL38"/>
    <mergeCell ref="AM38:AW38"/>
    <mergeCell ref="C25:F25"/>
    <mergeCell ref="C26:J26"/>
    <mergeCell ref="C27:J27"/>
    <mergeCell ref="C28:J28"/>
    <mergeCell ref="C29:J29"/>
    <mergeCell ref="O33:Z33"/>
    <mergeCell ref="S25:Y25"/>
    <mergeCell ref="C30:J30"/>
    <mergeCell ref="G25:J25"/>
    <mergeCell ref="C2:AX2"/>
    <mergeCell ref="C8:L11"/>
    <mergeCell ref="C13:L16"/>
    <mergeCell ref="C18:L21"/>
    <mergeCell ref="M8:AX11"/>
    <mergeCell ref="M13:AX16"/>
    <mergeCell ref="M18:AX21"/>
    <mergeCell ref="AQ6:AX6"/>
    <mergeCell ref="AM6:AP6"/>
    <mergeCell ref="C6:AJ6"/>
    <mergeCell ref="AQ24:AX24"/>
    <mergeCell ref="C24:J24"/>
    <mergeCell ref="K24:R24"/>
    <mergeCell ref="S24:Z24"/>
    <mergeCell ref="AA24:AH24"/>
    <mergeCell ref="AI24:AP24"/>
    <mergeCell ref="C33:N33"/>
    <mergeCell ref="S26:Y26"/>
    <mergeCell ref="S27:Y27"/>
    <mergeCell ref="S28:Y28"/>
    <mergeCell ref="S29:Y29"/>
    <mergeCell ref="S30:Y30"/>
    <mergeCell ref="K30:R30"/>
    <mergeCell ref="K25:R25"/>
    <mergeCell ref="K26:R26"/>
    <mergeCell ref="K27:R27"/>
    <mergeCell ref="K28:R28"/>
    <mergeCell ref="K29:R29"/>
    <mergeCell ref="C37:N37"/>
    <mergeCell ref="AA34:AK34"/>
    <mergeCell ref="AA35:AK35"/>
    <mergeCell ref="AA36:AK36"/>
    <mergeCell ref="O35:Y35"/>
    <mergeCell ref="O36:Y36"/>
    <mergeCell ref="O34:Y34"/>
    <mergeCell ref="C34:N34"/>
    <mergeCell ref="C35:N35"/>
    <mergeCell ref="C36:N36"/>
    <mergeCell ref="T37:Y37"/>
    <mergeCell ref="O37:S37"/>
    <mergeCell ref="AF37:AK37"/>
    <mergeCell ref="AA37:AE37"/>
  </mergeCells>
  <phoneticPr fontId="2"/>
  <printOptions horizontalCentered="1"/>
  <pageMargins left="0.23622047244094491" right="0.23622047244094491" top="0.39370078740157483" bottom="0.39370078740157483" header="0.70866141732283472" footer="0.31496062992125984"/>
  <pageSetup paperSize="9" scale="74" fitToHeight="0" orientation="portrait" r:id="rId1"/>
  <ignoredErrors>
    <ignoredError sqref="AQ6 O34:O36 Z34:AA34 AA35:AA36 Z35:Z36 AL34:AL36 AM34:AM36 AX34:AX36 AX40 C42:C44 C6 AM39:AM40 AX38:AX39" unlockedFormula="1"/>
    <ignoredError sqref="AX37" 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5133" r:id="rId4" name="Check Box 13">
              <controlPr defaultSize="0" autoFill="0" autoLine="0" autoPict="0">
                <anchor moveWithCells="1">
                  <from>
                    <xdr:col>45</xdr:col>
                    <xdr:colOff>95250</xdr:colOff>
                    <xdr:row>25</xdr:row>
                    <xdr:rowOff>85725</xdr:rowOff>
                  </from>
                  <to>
                    <xdr:col>46</xdr:col>
                    <xdr:colOff>190500</xdr:colOff>
                    <xdr:row>25</xdr:row>
                    <xdr:rowOff>304800</xdr:rowOff>
                  </to>
                </anchor>
              </controlPr>
            </control>
          </mc:Choice>
        </mc:AlternateContent>
        <mc:AlternateContent xmlns:mc="http://schemas.openxmlformats.org/markup-compatibility/2006">
          <mc:Choice Requires="x14">
            <control shapeId="5134" r:id="rId5" name="Check Box 14">
              <controlPr defaultSize="0" autoFill="0" autoLine="0" autoPict="0">
                <anchor moveWithCells="1">
                  <from>
                    <xdr:col>45</xdr:col>
                    <xdr:colOff>95250</xdr:colOff>
                    <xdr:row>26</xdr:row>
                    <xdr:rowOff>85725</xdr:rowOff>
                  </from>
                  <to>
                    <xdr:col>46</xdr:col>
                    <xdr:colOff>190500</xdr:colOff>
                    <xdr:row>26</xdr:row>
                    <xdr:rowOff>304800</xdr:rowOff>
                  </to>
                </anchor>
              </controlPr>
            </control>
          </mc:Choice>
        </mc:AlternateContent>
        <mc:AlternateContent xmlns:mc="http://schemas.openxmlformats.org/markup-compatibility/2006">
          <mc:Choice Requires="x14">
            <control shapeId="5135" r:id="rId6" name="Check Box 15">
              <controlPr defaultSize="0" autoFill="0" autoLine="0" autoPict="0">
                <anchor moveWithCells="1">
                  <from>
                    <xdr:col>45</xdr:col>
                    <xdr:colOff>95250</xdr:colOff>
                    <xdr:row>27</xdr:row>
                    <xdr:rowOff>85725</xdr:rowOff>
                  </from>
                  <to>
                    <xdr:col>46</xdr:col>
                    <xdr:colOff>190500</xdr:colOff>
                    <xdr:row>27</xdr:row>
                    <xdr:rowOff>304800</xdr:rowOff>
                  </to>
                </anchor>
              </controlPr>
            </control>
          </mc:Choice>
        </mc:AlternateContent>
        <mc:AlternateContent xmlns:mc="http://schemas.openxmlformats.org/markup-compatibility/2006">
          <mc:Choice Requires="x14">
            <control shapeId="5136" r:id="rId7" name="Check Box 16">
              <controlPr defaultSize="0" autoFill="0" autoLine="0" autoPict="0">
                <anchor moveWithCells="1">
                  <from>
                    <xdr:col>45</xdr:col>
                    <xdr:colOff>95250</xdr:colOff>
                    <xdr:row>28</xdr:row>
                    <xdr:rowOff>85725</xdr:rowOff>
                  </from>
                  <to>
                    <xdr:col>46</xdr:col>
                    <xdr:colOff>190500</xdr:colOff>
                    <xdr:row>28</xdr:row>
                    <xdr:rowOff>304800</xdr:rowOff>
                  </to>
                </anchor>
              </controlPr>
            </control>
          </mc:Choice>
        </mc:AlternateContent>
        <mc:AlternateContent xmlns:mc="http://schemas.openxmlformats.org/markup-compatibility/2006">
          <mc:Choice Requires="x14">
            <control shapeId="5137" r:id="rId8" name="Check Box 17">
              <controlPr defaultSize="0" autoFill="0" autoLine="0" autoPict="0">
                <anchor moveWithCells="1">
                  <from>
                    <xdr:col>45</xdr:col>
                    <xdr:colOff>95250</xdr:colOff>
                    <xdr:row>29</xdr:row>
                    <xdr:rowOff>85725</xdr:rowOff>
                  </from>
                  <to>
                    <xdr:col>46</xdr:col>
                    <xdr:colOff>190500</xdr:colOff>
                    <xdr:row>29</xdr:row>
                    <xdr:rowOff>304800</xdr:rowOff>
                  </to>
                </anchor>
              </controlPr>
            </control>
          </mc:Choice>
        </mc:AlternateContent>
        <mc:AlternateContent xmlns:mc="http://schemas.openxmlformats.org/markup-compatibility/2006">
          <mc:Choice Requires="x14">
            <control shapeId="5138" r:id="rId9" name="Check Box 18">
              <controlPr locked="0" defaultSize="0" autoFill="0" autoLine="0" autoPict="0">
                <anchor moveWithCells="1">
                  <from>
                    <xdr:col>45</xdr:col>
                    <xdr:colOff>95250</xdr:colOff>
                    <xdr:row>24</xdr:row>
                    <xdr:rowOff>85725</xdr:rowOff>
                  </from>
                  <to>
                    <xdr:col>46</xdr:col>
                    <xdr:colOff>190500</xdr:colOff>
                    <xdr:row>24</xdr:row>
                    <xdr:rowOff>304800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allowBlank="1" showInputMessage="1" showErrorMessage="1">
          <x14:formula1>
            <xm:f>'区分（非公開）'!$B$3:$B$4</xm:f>
          </x14:formula1>
          <xm:sqref>G25:J25</xm:sqref>
        </x14:dataValidation>
        <x14:dataValidation type="list" allowBlank="1" showInputMessage="1" showErrorMessage="1">
          <x14:formula1>
            <xm:f>'区分（非公開）'!$B$7:$B$11</xm:f>
          </x14:formula1>
          <xm:sqref>K25:R25</xm:sqref>
        </x14:dataValidation>
        <x14:dataValidation type="list" allowBlank="1" showInputMessage="1" showErrorMessage="1">
          <x14:formula1>
            <xm:f>'区分（非公開）'!$E$7:$E$11</xm:f>
          </x14:formula1>
          <xm:sqref>K26:R30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B1:AK70"/>
  <sheetViews>
    <sheetView view="pageBreakPreview" zoomScale="60" zoomScaleNormal="80" workbookViewId="0"/>
  </sheetViews>
  <sheetFormatPr defaultColWidth="2.625" defaultRowHeight="20.100000000000001" customHeight="1" x14ac:dyDescent="0.15"/>
  <cols>
    <col min="1" max="2" width="1.125" style="1" customWidth="1"/>
    <col min="3" max="3" width="11.125" style="1" customWidth="1"/>
    <col min="4" max="4" width="9.25" style="3" customWidth="1"/>
    <col min="5" max="5" width="16.625" style="1" customWidth="1"/>
    <col min="6" max="6" width="4.625" style="3" customWidth="1"/>
    <col min="7" max="7" width="13.375" style="1" customWidth="1"/>
    <col min="8" max="8" width="3.625" style="3" customWidth="1"/>
    <col min="9" max="9" width="16.625" style="1" customWidth="1"/>
    <col min="10" max="10" width="4.625" style="1" customWidth="1"/>
    <col min="11" max="11" width="16.625" style="1" customWidth="1"/>
    <col min="12" max="12" width="3.5" style="1" customWidth="1"/>
    <col min="13" max="13" width="12.625" style="1" customWidth="1"/>
    <col min="14" max="15" width="2.625" style="1" customWidth="1"/>
    <col min="16" max="16" width="16.125" style="1" customWidth="1"/>
    <col min="17" max="17" width="2.375" style="1" customWidth="1"/>
    <col min="18" max="18" width="4.625" style="1" bestFit="1" customWidth="1"/>
    <col min="19" max="16384" width="2.625" style="1"/>
  </cols>
  <sheetData>
    <row r="1" spans="2:20" ht="10.5" customHeight="1" thickBot="1" x14ac:dyDescent="0.2">
      <c r="B1" s="9"/>
      <c r="C1" s="9"/>
      <c r="D1" s="10"/>
      <c r="E1" s="9"/>
      <c r="F1" s="10"/>
      <c r="G1" s="9"/>
      <c r="H1" s="10"/>
      <c r="I1" s="9"/>
      <c r="J1" s="9"/>
      <c r="K1" s="9"/>
      <c r="L1" s="9"/>
      <c r="M1" s="9"/>
      <c r="N1" s="9"/>
      <c r="O1" s="9"/>
      <c r="P1" s="9"/>
      <c r="Q1" s="9"/>
      <c r="R1" s="9"/>
      <c r="S1" s="9"/>
      <c r="T1" s="9"/>
    </row>
    <row r="2" spans="2:20" ht="29.25" customHeight="1" thickBot="1" x14ac:dyDescent="0.2">
      <c r="B2" s="11"/>
      <c r="C2" s="365" t="s">
        <v>130</v>
      </c>
      <c r="D2" s="366"/>
      <c r="E2" s="366"/>
      <c r="F2" s="366"/>
      <c r="G2" s="366"/>
      <c r="H2" s="366"/>
      <c r="I2" s="366"/>
      <c r="J2" s="366"/>
      <c r="K2" s="366"/>
      <c r="L2" s="366"/>
      <c r="M2" s="366"/>
      <c r="N2" s="366"/>
      <c r="O2" s="366"/>
      <c r="P2" s="366"/>
      <c r="Q2" s="366"/>
      <c r="R2" s="366"/>
      <c r="S2" s="367"/>
      <c r="T2" s="11"/>
    </row>
    <row r="3" spans="2:20" ht="24.95" customHeight="1" x14ac:dyDescent="0.15">
      <c r="B3" s="11"/>
      <c r="C3" s="11"/>
      <c r="D3" s="12"/>
      <c r="E3" s="11"/>
      <c r="F3" s="12"/>
      <c r="G3" s="11"/>
      <c r="H3" s="12"/>
      <c r="I3" s="11"/>
      <c r="J3" s="11"/>
      <c r="K3" s="11"/>
      <c r="L3" s="11"/>
      <c r="M3" s="11"/>
      <c r="N3" s="11"/>
      <c r="O3" s="11"/>
      <c r="P3" s="11"/>
      <c r="Q3" s="11"/>
      <c r="R3" s="11"/>
      <c r="S3" s="11"/>
      <c r="T3" s="11"/>
    </row>
    <row r="4" spans="2:20" ht="22.5" customHeight="1" x14ac:dyDescent="0.15">
      <c r="B4" s="13"/>
      <c r="C4" s="169" t="s">
        <v>156</v>
      </c>
      <c r="D4" s="12"/>
      <c r="E4" s="11"/>
      <c r="F4" s="12"/>
      <c r="G4" s="14" t="str">
        <f>IF(AND(G7="",G8="",G9="",G10="",G11="",G12=""),"",IF(OR(G7&lt;430000,G8&lt;430000,G9&lt;430000,G10&lt;430000,G11&lt;430000,G12&lt;430000),"※総所得金額が43万円未満の方の基礎控除額は、総所得金額と同額となります。",""))</f>
        <v/>
      </c>
      <c r="H4" s="12"/>
      <c r="I4" s="11"/>
      <c r="J4" s="11"/>
      <c r="K4" s="11"/>
      <c r="L4" s="11"/>
      <c r="M4" s="11"/>
      <c r="N4" s="11"/>
      <c r="O4" s="11"/>
      <c r="P4" s="11"/>
      <c r="Q4" s="11"/>
      <c r="R4" s="11"/>
      <c r="S4" s="11"/>
      <c r="T4" s="11"/>
    </row>
    <row r="5" spans="2:20" ht="22.5" customHeight="1" x14ac:dyDescent="0.15">
      <c r="B5" s="11"/>
      <c r="C5" s="331" t="s">
        <v>18</v>
      </c>
      <c r="D5" s="15"/>
      <c r="E5" s="334" t="s">
        <v>8</v>
      </c>
      <c r="F5" s="334"/>
      <c r="G5" s="324" t="s">
        <v>37</v>
      </c>
      <c r="H5" s="336"/>
      <c r="I5" s="324" t="s">
        <v>20</v>
      </c>
      <c r="J5" s="326"/>
      <c r="K5" s="324" t="s">
        <v>3</v>
      </c>
      <c r="L5" s="328"/>
      <c r="M5" s="328" t="s">
        <v>23</v>
      </c>
      <c r="N5" s="16"/>
      <c r="O5" s="16"/>
      <c r="P5" s="16"/>
      <c r="Q5" s="16"/>
      <c r="R5" s="16"/>
      <c r="S5" s="17"/>
      <c r="T5" s="11"/>
    </row>
    <row r="6" spans="2:20" ht="23.1" customHeight="1" x14ac:dyDescent="0.15">
      <c r="B6" s="11"/>
      <c r="C6" s="332"/>
      <c r="D6" s="18"/>
      <c r="E6" s="335"/>
      <c r="F6" s="335"/>
      <c r="G6" s="327"/>
      <c r="H6" s="337"/>
      <c r="I6" s="325"/>
      <c r="J6" s="327"/>
      <c r="K6" s="325"/>
      <c r="L6" s="329"/>
      <c r="M6" s="330"/>
      <c r="N6" s="11"/>
      <c r="O6" s="11"/>
      <c r="P6" s="11"/>
      <c r="Q6" s="11"/>
      <c r="R6" s="11"/>
      <c r="S6" s="19"/>
      <c r="T6" s="11"/>
    </row>
    <row r="7" spans="2:20" ht="23.1" customHeight="1" x14ac:dyDescent="0.15">
      <c r="B7" s="11"/>
      <c r="C7" s="332"/>
      <c r="D7" s="20" t="str">
        <f>IF('計算基準（非公開）'!G12=0,"","世帯主")</f>
        <v/>
      </c>
      <c r="E7" s="21" t="str">
        <f>IF('計算基準（非公開）'!N12=0,"",IF('計算基準（非公開）'!G12=0,"",'計算基準（非公開）'!N12))</f>
        <v/>
      </c>
      <c r="F7" s="22" t="str">
        <f>IF(E7="","","－")</f>
        <v/>
      </c>
      <c r="G7" s="23" t="str">
        <f>IF(E7="","",IF(E7&lt;='計算基準（非公開）'!C8,E7,430000))</f>
        <v/>
      </c>
      <c r="H7" s="24" t="str">
        <f>IF(E7="","","＝")</f>
        <v/>
      </c>
      <c r="I7" s="23" t="str">
        <f>IF(E7="","",IF(E7=0,"",E7-G7))</f>
        <v/>
      </c>
      <c r="J7" s="24"/>
      <c r="K7" s="25"/>
      <c r="L7" s="26"/>
      <c r="M7" s="313">
        <f>'計算基準（非公開）'!C4</f>
        <v>6.2399999999999997E-2</v>
      </c>
      <c r="N7" s="27"/>
      <c r="O7" s="11"/>
      <c r="P7" s="11"/>
      <c r="Q7" s="11"/>
      <c r="R7" s="11"/>
      <c r="S7" s="19"/>
      <c r="T7" s="11"/>
    </row>
    <row r="8" spans="2:20" ht="23.1" customHeight="1" x14ac:dyDescent="0.15">
      <c r="B8" s="11"/>
      <c r="C8" s="332"/>
      <c r="D8" s="28" t="str">
        <f>IF('計算基準（非公開）'!G13=0,"","世帯員1")</f>
        <v/>
      </c>
      <c r="E8" s="29" t="str">
        <f>IF('計算基準（非公開）'!N13=0,"",'計算基準（非公開）'!N13)</f>
        <v/>
      </c>
      <c r="F8" s="30" t="str">
        <f>IF(E8="","","－")</f>
        <v/>
      </c>
      <c r="G8" s="31" t="str">
        <f>IF(E8="","",IF(E8&lt;='計算基準（非公開）'!C8,E8,430000))</f>
        <v/>
      </c>
      <c r="H8" s="32" t="str">
        <f t="shared" ref="H8:H12" si="0">IF(E8="","","＝")</f>
        <v/>
      </c>
      <c r="I8" s="33" t="str">
        <f t="shared" ref="I8:I12" si="1">IF(E8="","",IF(E8=0,"",E8-G8))</f>
        <v/>
      </c>
      <c r="J8" s="32"/>
      <c r="K8" s="34"/>
      <c r="L8" s="32"/>
      <c r="M8" s="314"/>
      <c r="N8" s="35"/>
      <c r="O8" s="11"/>
      <c r="P8" s="11"/>
      <c r="Q8" s="11"/>
      <c r="R8" s="11"/>
      <c r="S8" s="19"/>
      <c r="T8" s="11"/>
    </row>
    <row r="9" spans="2:20" ht="23.1" customHeight="1" x14ac:dyDescent="0.15">
      <c r="B9" s="11"/>
      <c r="C9" s="332"/>
      <c r="D9" s="36" t="str">
        <f>IF('計算基準（非公開）'!G14=0,"","世帯員2")</f>
        <v/>
      </c>
      <c r="E9" s="37" t="str">
        <f>IF('計算基準（非公開）'!N14=0,"",'計算基準（非公開）'!N14)</f>
        <v/>
      </c>
      <c r="F9" s="38" t="str">
        <f t="shared" ref="F9:F12" si="2">IF(E9="","","－")</f>
        <v/>
      </c>
      <c r="G9" s="39" t="str">
        <f>IF(E9="","",IF(E9&lt;='計算基準（非公開）'!C8,E9,430000))</f>
        <v/>
      </c>
      <c r="H9" s="40" t="str">
        <f t="shared" si="0"/>
        <v/>
      </c>
      <c r="I9" s="39" t="str">
        <f t="shared" si="1"/>
        <v/>
      </c>
      <c r="J9" s="41"/>
      <c r="K9" s="316">
        <f>SUM(I7:I12)</f>
        <v>0</v>
      </c>
      <c r="L9" s="42"/>
      <c r="M9" s="314"/>
      <c r="N9" s="43"/>
      <c r="O9" s="11"/>
      <c r="P9" s="320">
        <f>ROUNDDOWN(K9*M7,0)</f>
        <v>0</v>
      </c>
      <c r="Q9" s="44"/>
      <c r="R9" s="311" t="s">
        <v>99</v>
      </c>
      <c r="S9" s="19"/>
      <c r="T9" s="11"/>
    </row>
    <row r="10" spans="2:20" ht="23.1" customHeight="1" x14ac:dyDescent="0.15">
      <c r="B10" s="11"/>
      <c r="C10" s="332"/>
      <c r="D10" s="45" t="str">
        <f>IF('計算基準（非公開）'!G15=0,"","世帯員3")</f>
        <v/>
      </c>
      <c r="E10" s="46" t="str">
        <f>IF('計算基準（非公開）'!N15=0,"",'計算基準（非公開）'!N15)</f>
        <v/>
      </c>
      <c r="F10" s="47" t="str">
        <f t="shared" si="2"/>
        <v/>
      </c>
      <c r="G10" s="48" t="str">
        <f>IF(E10="","",IF(E10&lt;='計算基準（非公開）'!C8,E10,430000))</f>
        <v/>
      </c>
      <c r="H10" s="12" t="str">
        <f t="shared" si="0"/>
        <v/>
      </c>
      <c r="I10" s="48" t="str">
        <f t="shared" si="1"/>
        <v/>
      </c>
      <c r="J10" s="12"/>
      <c r="K10" s="317"/>
      <c r="L10" s="49"/>
      <c r="M10" s="314"/>
      <c r="N10" s="50"/>
      <c r="O10" s="11"/>
      <c r="P10" s="320"/>
      <c r="Q10" s="44"/>
      <c r="R10" s="312"/>
      <c r="S10" s="19"/>
      <c r="T10" s="11"/>
    </row>
    <row r="11" spans="2:20" ht="23.1" customHeight="1" x14ac:dyDescent="0.15">
      <c r="B11" s="11"/>
      <c r="C11" s="332"/>
      <c r="D11" s="36" t="str">
        <f>IF('計算基準（非公開）'!G16=0,"","世帯員4")</f>
        <v/>
      </c>
      <c r="E11" s="37" t="str">
        <f>IF('計算基準（非公開）'!N16=0,"",'計算基準（非公開）'!N16)</f>
        <v/>
      </c>
      <c r="F11" s="38" t="str">
        <f t="shared" si="2"/>
        <v/>
      </c>
      <c r="G11" s="39" t="str">
        <f>IF(E11="","",IF(E11&lt;='計算基準（非公開）'!C8,E11,430000))</f>
        <v/>
      </c>
      <c r="H11" s="40" t="str">
        <f t="shared" si="0"/>
        <v/>
      </c>
      <c r="I11" s="39" t="str">
        <f t="shared" si="1"/>
        <v/>
      </c>
      <c r="J11" s="40"/>
      <c r="K11" s="51"/>
      <c r="L11" s="24"/>
      <c r="M11" s="314"/>
      <c r="N11" s="52"/>
      <c r="O11" s="11"/>
      <c r="P11" s="11"/>
      <c r="Q11" s="11"/>
      <c r="R11" s="11"/>
      <c r="S11" s="19"/>
      <c r="T11" s="11"/>
    </row>
    <row r="12" spans="2:20" ht="23.1" customHeight="1" x14ac:dyDescent="0.15">
      <c r="B12" s="11"/>
      <c r="C12" s="332"/>
      <c r="D12" s="53" t="str">
        <f>IF('計算基準（非公開）'!G17=0,"","世帯員5")</f>
        <v/>
      </c>
      <c r="E12" s="54" t="str">
        <f>IF('計算基準（非公開）'!N17=0,"",'計算基準（非公開）'!N17)</f>
        <v/>
      </c>
      <c r="F12" s="55" t="str">
        <f t="shared" si="2"/>
        <v/>
      </c>
      <c r="G12" s="56" t="str">
        <f>IF(E12="","",IF(E12&lt;='計算基準（非公開）'!C8,E12,430000))</f>
        <v/>
      </c>
      <c r="H12" s="57" t="str">
        <f t="shared" si="0"/>
        <v/>
      </c>
      <c r="I12" s="56" t="str">
        <f t="shared" si="1"/>
        <v/>
      </c>
      <c r="J12" s="57"/>
      <c r="K12" s="34"/>
      <c r="L12" s="57"/>
      <c r="M12" s="315"/>
      <c r="N12" s="58"/>
      <c r="O12" s="11"/>
      <c r="P12" s="11"/>
      <c r="Q12" s="11"/>
      <c r="R12" s="11"/>
      <c r="S12" s="19"/>
      <c r="T12" s="11"/>
    </row>
    <row r="13" spans="2:20" ht="5.0999999999999996" customHeight="1" x14ac:dyDescent="0.15">
      <c r="B13" s="11"/>
      <c r="C13" s="333"/>
      <c r="D13" s="18"/>
      <c r="E13" s="59"/>
      <c r="F13" s="12"/>
      <c r="G13" s="11"/>
      <c r="H13" s="12"/>
      <c r="I13" s="60"/>
      <c r="J13" s="11"/>
      <c r="K13" s="12"/>
      <c r="L13" s="11"/>
      <c r="M13" s="11"/>
      <c r="N13" s="11"/>
      <c r="O13" s="11"/>
      <c r="P13" s="11"/>
      <c r="Q13" s="11"/>
      <c r="R13" s="11"/>
      <c r="S13" s="19"/>
      <c r="T13" s="11"/>
    </row>
    <row r="14" spans="2:20" ht="5.0999999999999996" customHeight="1" x14ac:dyDescent="0.15">
      <c r="B14" s="11"/>
      <c r="C14" s="170"/>
      <c r="D14" s="61"/>
      <c r="E14" s="62"/>
      <c r="F14" s="63"/>
      <c r="G14" s="64"/>
      <c r="H14" s="63"/>
      <c r="I14" s="65"/>
      <c r="J14" s="64"/>
      <c r="K14" s="63"/>
      <c r="L14" s="64"/>
      <c r="M14" s="64"/>
      <c r="N14" s="64"/>
      <c r="O14" s="64"/>
      <c r="P14" s="64"/>
      <c r="Q14" s="64"/>
      <c r="R14" s="64"/>
      <c r="S14" s="66"/>
      <c r="T14" s="11"/>
    </row>
    <row r="15" spans="2:20" ht="23.1" customHeight="1" x14ac:dyDescent="0.15">
      <c r="B15" s="11"/>
      <c r="C15" s="338" t="s">
        <v>19</v>
      </c>
      <c r="D15" s="67"/>
      <c r="E15" s="68"/>
      <c r="F15" s="69"/>
      <c r="G15" s="70" t="s">
        <v>13</v>
      </c>
      <c r="H15" s="69"/>
      <c r="I15" s="71">
        <f>'計算基準（非公開）'!C5</f>
        <v>27900</v>
      </c>
      <c r="J15" s="69" t="s">
        <v>22</v>
      </c>
      <c r="K15" s="72">
        <f>'計算基準（非公開）'!G18</f>
        <v>0</v>
      </c>
      <c r="L15" s="69" t="s">
        <v>21</v>
      </c>
      <c r="M15" s="340">
        <f>I15*K15</f>
        <v>0</v>
      </c>
      <c r="N15" s="340"/>
      <c r="O15" s="11"/>
      <c r="P15" s="73"/>
      <c r="Q15" s="44"/>
      <c r="R15" s="44"/>
      <c r="S15" s="74"/>
      <c r="T15" s="11"/>
    </row>
    <row r="16" spans="2:20" ht="23.1" customHeight="1" x14ac:dyDescent="0.15">
      <c r="B16" s="11"/>
      <c r="C16" s="338"/>
      <c r="D16" s="75"/>
      <c r="E16" s="76"/>
      <c r="F16" s="77" t="str">
        <f>IF('計算基準（非公開）'!G18=0,"",IF(VLOOKUP("○",'計算基準（非公開）'!G33:J36,4,FALSE)=0,"","減額："))</f>
        <v/>
      </c>
      <c r="G16" s="78" t="str">
        <f>IF('計算基準（非公開）'!G18=0,"",IF(VLOOKUP("○",'計算基準（非公開）'!G33:J36,4,FALSE)=0,"",VLOOKUP("○",'計算基準（非公開）'!G33:J36,4,FALSE)))</f>
        <v/>
      </c>
      <c r="H16" s="24"/>
      <c r="I16" s="79" t="str">
        <f>IF('計算基準（非公開）'!G18=0,"",IF(VLOOKUP("○",'計算基準（非公開）'!G33:J36,4,FALSE)=0,"",0-'計算基準（非公開）'!F28/K15))</f>
        <v/>
      </c>
      <c r="J16" s="24" t="str">
        <f>IF('計算基準（非公開）'!G18=0,"",IF(VLOOKUP("○",'計算基準（非公開）'!G33:J36,4,FALSE)=0,"","×"))</f>
        <v/>
      </c>
      <c r="K16" s="80" t="str">
        <f>IF('計算基準（非公開）'!G18=0,"",IF(VLOOKUP("○",'計算基準（非公開）'!G33:J36,4,FALSE)=0,"",'計算基準（非公開）'!G18))</f>
        <v/>
      </c>
      <c r="L16" s="24" t="str">
        <f>IF('計算基準（非公開）'!G18=0,"",IF(VLOOKUP("○",'計算基準（非公開）'!G33:J36,4,FALSE)=0,"","＝"))</f>
        <v/>
      </c>
      <c r="M16" s="341" t="str">
        <f>IF('計算基準（非公開）'!G18=0,"",IF(VLOOKUP("○",'計算基準（非公開）'!G33:J36,4,FALSE)=0,"",I16*K16))</f>
        <v/>
      </c>
      <c r="N16" s="341"/>
      <c r="O16" s="11"/>
      <c r="P16" s="73">
        <f>IF(AND(M16="",M17=""),M15,IF(M16="",M15+M17,IF(M17="",M15+M16,M15+M16+M17)))</f>
        <v>0</v>
      </c>
      <c r="Q16" s="44"/>
      <c r="R16" s="81" t="s">
        <v>100</v>
      </c>
      <c r="S16" s="74"/>
      <c r="T16" s="11"/>
    </row>
    <row r="17" spans="2:37" ht="23.1" customHeight="1" x14ac:dyDescent="0.15">
      <c r="B17" s="11"/>
      <c r="C17" s="339"/>
      <c r="D17" s="82"/>
      <c r="E17" s="83"/>
      <c r="F17" s="84" t="str">
        <f>IF('計算基準（非公開）'!L28=0,"","未就学児にかかる減額：")</f>
        <v/>
      </c>
      <c r="G17" s="85" t="str">
        <f>IF('計算基準（非公開）'!L28=0,"","1人につき")</f>
        <v/>
      </c>
      <c r="H17" s="86"/>
      <c r="I17" s="87" t="str">
        <f>IF('計算基準（非公開）'!L28=0,"",-'計算基準（非公開）'!M28/'計算基準（非公開）'!L28)</f>
        <v/>
      </c>
      <c r="J17" s="88" t="str">
        <f>IF('計算基準（非公開）'!L28=0,"","×")</f>
        <v/>
      </c>
      <c r="K17" s="89" t="str">
        <f>IF('計算基準（非公開）'!L28=0,"",'計算基準（非公開）'!L28)</f>
        <v/>
      </c>
      <c r="L17" s="86" t="str">
        <f>IF('計算基準（非公開）'!L28=0,"","＝")</f>
        <v/>
      </c>
      <c r="M17" s="319" t="str">
        <f>IF('計算基準（非公開）'!L28=0,"",-'計算基準（非公開）'!M28)</f>
        <v/>
      </c>
      <c r="N17" s="342" t="e">
        <f>IF(#REF!=0,"",#REF!)</f>
        <v>#REF!</v>
      </c>
      <c r="O17" s="11"/>
      <c r="P17" s="196"/>
      <c r="Q17" s="91"/>
      <c r="R17" s="197"/>
      <c r="S17" s="74"/>
      <c r="T17" s="11"/>
      <c r="W17" s="5"/>
    </row>
    <row r="18" spans="2:37" ht="5.0999999999999996" customHeight="1" x14ac:dyDescent="0.15">
      <c r="B18" s="11"/>
      <c r="C18" s="171"/>
      <c r="D18" s="92"/>
      <c r="E18" s="93"/>
      <c r="F18" s="94"/>
      <c r="G18" s="95"/>
      <c r="H18" s="94"/>
      <c r="I18" s="96"/>
      <c r="J18" s="95"/>
      <c r="K18" s="94"/>
      <c r="L18" s="95"/>
      <c r="M18" s="95"/>
      <c r="N18" s="95"/>
      <c r="O18" s="95"/>
      <c r="P18" s="95"/>
      <c r="Q18" s="95"/>
      <c r="R18" s="95"/>
      <c r="S18" s="97"/>
      <c r="T18" s="11"/>
    </row>
    <row r="19" spans="2:37" ht="5.0999999999999996" customHeight="1" x14ac:dyDescent="0.15">
      <c r="B19" s="11"/>
      <c r="C19" s="172"/>
      <c r="D19" s="18"/>
      <c r="E19" s="59"/>
      <c r="F19" s="12"/>
      <c r="G19" s="11"/>
      <c r="H19" s="12"/>
      <c r="I19" s="60"/>
      <c r="J19" s="11"/>
      <c r="K19" s="12"/>
      <c r="L19" s="11"/>
      <c r="M19" s="11"/>
      <c r="N19" s="11"/>
      <c r="O19" s="11"/>
      <c r="P19" s="11"/>
      <c r="Q19" s="11"/>
      <c r="R19" s="11"/>
      <c r="S19" s="19"/>
      <c r="T19" s="11"/>
    </row>
    <row r="20" spans="2:37" ht="23.1" customHeight="1" x14ac:dyDescent="0.15">
      <c r="B20" s="11"/>
      <c r="C20" s="344" t="s">
        <v>50</v>
      </c>
      <c r="D20" s="67"/>
      <c r="E20" s="68"/>
      <c r="F20" s="69"/>
      <c r="G20" s="98" t="s">
        <v>14</v>
      </c>
      <c r="H20" s="99"/>
      <c r="I20" s="100">
        <f>'計算基準（非公開）'!C6</f>
        <v>20700</v>
      </c>
      <c r="J20" s="101"/>
      <c r="K20" s="102"/>
      <c r="L20" s="101"/>
      <c r="M20" s="346" t="str">
        <f>IF('計算基準（非公開）'!G18=0,"",'計算基準（非公開）'!C6)</f>
        <v/>
      </c>
      <c r="N20" s="346"/>
      <c r="O20" s="11"/>
      <c r="P20" s="347">
        <f>IF(AND(M20="",M21=""),0,IF(M21="",M20,M20+M21))</f>
        <v>0</v>
      </c>
      <c r="Q20" s="44"/>
      <c r="R20" s="311" t="s">
        <v>101</v>
      </c>
      <c r="S20" s="74"/>
      <c r="T20" s="11"/>
    </row>
    <row r="21" spans="2:37" ht="22.5" customHeight="1" x14ac:dyDescent="0.15">
      <c r="B21" s="11"/>
      <c r="C21" s="345"/>
      <c r="D21" s="75"/>
      <c r="E21" s="76"/>
      <c r="F21" s="77" t="str">
        <f>IF('計算基準（非公開）'!G18=0,"",IF(VLOOKUP("○",'計算基準（非公開）'!G33:J36,4,FALSE)=0,"","減額："))</f>
        <v/>
      </c>
      <c r="G21" s="78" t="str">
        <f>IF('計算基準（非公開）'!G18=0,"",IF(VLOOKUP("○",'計算基準（非公開）'!G33:J36,4,FALSE)=0,"",VLOOKUP("○",'計算基準（非公開）'!G33:J36,4,FALSE)))</f>
        <v/>
      </c>
      <c r="H21" s="24"/>
      <c r="I21" s="23" t="str">
        <f>IF('計算基準（非公開）'!G18=0,"",IF(VLOOKUP("○",'計算基準（非公開）'!G33:J36,4,FALSE)=0,"",0-'計算基準（非公開）'!I28))</f>
        <v/>
      </c>
      <c r="J21" s="103"/>
      <c r="K21" s="104"/>
      <c r="L21" s="103"/>
      <c r="M21" s="319" t="str">
        <f>IF('計算基準（非公開）'!G18=0,"",IF(VLOOKUP("○",'計算基準（非公開）'!G33:J36,4,FALSE)=0,"",0-'計算基準（非公開）'!I28))</f>
        <v/>
      </c>
      <c r="N21" s="319"/>
      <c r="O21" s="11"/>
      <c r="P21" s="347"/>
      <c r="Q21" s="44"/>
      <c r="R21" s="318"/>
      <c r="S21" s="74"/>
      <c r="T21" s="11"/>
    </row>
    <row r="22" spans="2:37" ht="5.0999999999999996" customHeight="1" thickBot="1" x14ac:dyDescent="0.2">
      <c r="B22" s="11"/>
      <c r="C22" s="173"/>
      <c r="D22" s="105"/>
      <c r="E22" s="106"/>
      <c r="F22" s="107"/>
      <c r="G22" s="108"/>
      <c r="H22" s="107"/>
      <c r="I22" s="109"/>
      <c r="J22" s="108"/>
      <c r="K22" s="107"/>
      <c r="L22" s="108"/>
      <c r="M22" s="108"/>
      <c r="N22" s="108"/>
      <c r="O22" s="108"/>
      <c r="P22" s="108"/>
      <c r="Q22" s="108"/>
      <c r="R22" s="108"/>
      <c r="S22" s="110"/>
      <c r="T22" s="11"/>
    </row>
    <row r="23" spans="2:37" ht="33" customHeight="1" thickTop="1" thickBot="1" x14ac:dyDescent="0.2">
      <c r="B23" s="11"/>
      <c r="C23" s="174" t="s">
        <v>39</v>
      </c>
      <c r="D23" s="175" t="s">
        <v>88</v>
      </c>
      <c r="E23" s="176"/>
      <c r="F23" s="111" t="str">
        <f>" 賦課限度額 "&amp;TEXT('計算基準（非公開）'!C7/10000,"（#,##0万円）")</f>
        <v xml:space="preserve"> 賦課限度額 (65万円)</v>
      </c>
      <c r="G23" s="112"/>
      <c r="H23" s="113"/>
      <c r="I23" s="348">
        <f>IF(ROUNDDOWN(SUM(P9:P21),-2)&gt;='計算基準（非公開）'!C7,'計算基準（非公開）'!C7,ROUNDDOWN(SUM(P9:P21),-2))</f>
        <v>0</v>
      </c>
      <c r="J23" s="348"/>
      <c r="K23" s="348"/>
      <c r="L23" s="348"/>
      <c r="M23" s="114" t="s">
        <v>17</v>
      </c>
      <c r="N23" s="112"/>
      <c r="O23" s="112"/>
      <c r="P23" s="112"/>
      <c r="Q23" s="115"/>
      <c r="R23" s="116" t="s">
        <v>102</v>
      </c>
      <c r="S23" s="117"/>
      <c r="T23" s="11"/>
      <c r="Y23" s="195"/>
      <c r="Z23" s="2"/>
      <c r="AA23" s="2"/>
      <c r="AB23" s="2"/>
      <c r="AC23" s="2"/>
      <c r="AD23" s="2"/>
      <c r="AE23" s="2"/>
      <c r="AF23" s="2"/>
      <c r="AG23" s="2"/>
      <c r="AH23" s="2"/>
      <c r="AI23" s="2"/>
      <c r="AJ23" s="2"/>
      <c r="AK23" s="2"/>
    </row>
    <row r="24" spans="2:37" ht="24.95" customHeight="1" thickTop="1" x14ac:dyDescent="0.15">
      <c r="B24" s="11"/>
      <c r="C24" s="11"/>
      <c r="D24" s="12"/>
      <c r="E24" s="11"/>
      <c r="F24" s="12"/>
      <c r="G24" s="11"/>
      <c r="H24" s="12"/>
      <c r="I24" s="11"/>
      <c r="J24" s="11"/>
      <c r="K24" s="11"/>
      <c r="L24" s="11"/>
      <c r="M24" s="11"/>
      <c r="N24" s="11"/>
      <c r="O24" s="11"/>
      <c r="P24" s="11"/>
      <c r="Q24" s="11"/>
      <c r="R24" s="11"/>
      <c r="S24" s="11"/>
      <c r="T24" s="11"/>
    </row>
    <row r="25" spans="2:37" ht="22.5" customHeight="1" x14ac:dyDescent="0.15">
      <c r="B25" s="13"/>
      <c r="C25" s="169" t="s">
        <v>157</v>
      </c>
      <c r="D25" s="12"/>
      <c r="E25" s="11"/>
      <c r="F25" s="12"/>
      <c r="G25" s="14" t="str">
        <f>IF(AND(G28="",G29="",G30="",G31="",G32="",G33=""),"",IF(OR(G28&lt;430000,G29&lt;430000,G30&lt;430000,G31&lt;430000,G32&lt;430000,G33&lt;430000),"※総所得金額が43万円未満の方の基礎控除額は、総所得金額と同額となります。",""))</f>
        <v/>
      </c>
      <c r="H25" s="12"/>
      <c r="I25" s="11"/>
      <c r="J25" s="11"/>
      <c r="K25" s="11"/>
      <c r="L25" s="11"/>
      <c r="M25" s="11"/>
      <c r="N25" s="11"/>
      <c r="O25" s="11"/>
      <c r="P25" s="11"/>
      <c r="Q25" s="11"/>
      <c r="R25" s="11"/>
      <c r="S25" s="11"/>
      <c r="T25" s="11"/>
    </row>
    <row r="26" spans="2:37" ht="22.5" customHeight="1" x14ac:dyDescent="0.15">
      <c r="B26" s="11"/>
      <c r="C26" s="349" t="s">
        <v>18</v>
      </c>
      <c r="D26" s="15"/>
      <c r="E26" s="334" t="s">
        <v>8</v>
      </c>
      <c r="F26" s="334"/>
      <c r="G26" s="324" t="s">
        <v>37</v>
      </c>
      <c r="H26" s="336"/>
      <c r="I26" s="324" t="s">
        <v>20</v>
      </c>
      <c r="J26" s="326"/>
      <c r="K26" s="324" t="s">
        <v>3</v>
      </c>
      <c r="L26" s="328"/>
      <c r="M26" s="328" t="s">
        <v>24</v>
      </c>
      <c r="N26" s="16"/>
      <c r="O26" s="16"/>
      <c r="P26" s="16"/>
      <c r="Q26" s="16"/>
      <c r="R26" s="16"/>
      <c r="S26" s="17"/>
      <c r="T26" s="11"/>
    </row>
    <row r="27" spans="2:37" ht="22.5" customHeight="1" x14ac:dyDescent="0.15">
      <c r="B27" s="11"/>
      <c r="C27" s="350"/>
      <c r="D27" s="18"/>
      <c r="E27" s="335"/>
      <c r="F27" s="335"/>
      <c r="G27" s="327"/>
      <c r="H27" s="337"/>
      <c r="I27" s="325"/>
      <c r="J27" s="327"/>
      <c r="K27" s="325"/>
      <c r="L27" s="329"/>
      <c r="M27" s="329"/>
      <c r="N27" s="11"/>
      <c r="O27" s="11"/>
      <c r="P27" s="11"/>
      <c r="Q27" s="11"/>
      <c r="R27" s="11"/>
      <c r="S27" s="19"/>
      <c r="T27" s="11"/>
    </row>
    <row r="28" spans="2:37" ht="22.5" customHeight="1" x14ac:dyDescent="0.15">
      <c r="B28" s="11"/>
      <c r="C28" s="350"/>
      <c r="D28" s="20" t="str">
        <f>IF('計算基準（非公開）'!G12=0,"","世帯主")</f>
        <v/>
      </c>
      <c r="E28" s="21" t="str">
        <f>IF('計算基準（非公開）'!N12=0,"",IF('計算基準（非公開）'!G12=0,"",'計算基準（非公開）'!N12))</f>
        <v/>
      </c>
      <c r="F28" s="22" t="str">
        <f>IF(E28="","","－")</f>
        <v/>
      </c>
      <c r="G28" s="23" t="str">
        <f>IF(E7="","",IF(E7&lt;='計算基準（非公開）'!C8,E7,430000))</f>
        <v/>
      </c>
      <c r="H28" s="24" t="str">
        <f t="shared" ref="H28:H33" si="3">IF(E28="","","＝")</f>
        <v/>
      </c>
      <c r="I28" s="23" t="str">
        <f t="shared" ref="I28:I33" si="4">IF(E7="","",IF(E28=0,"",E28-G28))</f>
        <v/>
      </c>
      <c r="J28" s="24"/>
      <c r="K28" s="25"/>
      <c r="L28" s="26"/>
      <c r="M28" s="323">
        <f>'計算基準（非公開）'!D4</f>
        <v>2.52E-2</v>
      </c>
      <c r="N28" s="103"/>
      <c r="O28" s="11"/>
      <c r="P28" s="11"/>
      <c r="Q28" s="11"/>
      <c r="R28" s="11"/>
      <c r="S28" s="19"/>
      <c r="T28" s="11"/>
    </row>
    <row r="29" spans="2:37" ht="22.5" customHeight="1" x14ac:dyDescent="0.15">
      <c r="B29" s="11"/>
      <c r="C29" s="350"/>
      <c r="D29" s="28" t="str">
        <f>IF('計算基準（非公開）'!G13=0,"","世帯員1")</f>
        <v/>
      </c>
      <c r="E29" s="118" t="str">
        <f>IF('計算基準（非公開）'!N13=0,"",'計算基準（非公開）'!N13)</f>
        <v/>
      </c>
      <c r="F29" s="30" t="str">
        <f t="shared" ref="F29:F33" si="5">IF(E29="","","－")</f>
        <v/>
      </c>
      <c r="G29" s="31" t="str">
        <f>IF(E8="","",IF(E8&lt;='計算基準（非公開）'!C8,E8,430000))</f>
        <v/>
      </c>
      <c r="H29" s="32" t="str">
        <f t="shared" si="3"/>
        <v/>
      </c>
      <c r="I29" s="33" t="str">
        <f t="shared" si="4"/>
        <v/>
      </c>
      <c r="J29" s="32"/>
      <c r="K29" s="34"/>
      <c r="L29" s="32"/>
      <c r="M29" s="314"/>
      <c r="N29" s="35"/>
      <c r="O29" s="11"/>
      <c r="P29" s="11"/>
      <c r="Q29" s="11"/>
      <c r="R29" s="11"/>
      <c r="S29" s="19"/>
      <c r="T29" s="11"/>
    </row>
    <row r="30" spans="2:37" ht="22.5" customHeight="1" x14ac:dyDescent="0.15">
      <c r="B30" s="11"/>
      <c r="C30" s="350"/>
      <c r="D30" s="20" t="str">
        <f>IF('計算基準（非公開）'!G14=0,"","世帯員2")</f>
        <v/>
      </c>
      <c r="E30" s="21" t="str">
        <f>IF('計算基準（非公開）'!N14=0,"",'計算基準（非公開）'!N14)</f>
        <v/>
      </c>
      <c r="F30" s="22" t="str">
        <f t="shared" si="5"/>
        <v/>
      </c>
      <c r="G30" s="23" t="str">
        <f>IF(E9="","",IF(E9&lt;='計算基準（非公開）'!C8,E9,430000))</f>
        <v/>
      </c>
      <c r="H30" s="24" t="str">
        <f t="shared" si="3"/>
        <v/>
      </c>
      <c r="I30" s="23" t="str">
        <f t="shared" si="4"/>
        <v/>
      </c>
      <c r="J30" s="119"/>
      <c r="K30" s="321">
        <f>SUM(I28:I33)</f>
        <v>0</v>
      </c>
      <c r="L30" s="120"/>
      <c r="M30" s="314"/>
      <c r="N30" s="52"/>
      <c r="O30" s="11"/>
      <c r="P30" s="320">
        <f>ROUNDDOWN(K30*M28,0)</f>
        <v>0</v>
      </c>
      <c r="Q30" s="44"/>
      <c r="R30" s="311" t="s">
        <v>99</v>
      </c>
      <c r="S30" s="19"/>
      <c r="T30" s="11"/>
    </row>
    <row r="31" spans="2:37" ht="22.5" customHeight="1" x14ac:dyDescent="0.15">
      <c r="B31" s="11"/>
      <c r="C31" s="350"/>
      <c r="D31" s="28" t="str">
        <f>IF('計算基準（非公開）'!G15=0,"","世帯員3")</f>
        <v/>
      </c>
      <c r="E31" s="118" t="str">
        <f>IF('計算基準（非公開）'!N15=0,"",'計算基準（非公開）'!N15)</f>
        <v/>
      </c>
      <c r="F31" s="30" t="str">
        <f t="shared" si="5"/>
        <v/>
      </c>
      <c r="G31" s="33" t="str">
        <f>IF(E10="","",IF(E10&lt;='計算基準（非公開）'!C8,E10,430000))</f>
        <v/>
      </c>
      <c r="H31" s="32" t="str">
        <f t="shared" si="3"/>
        <v/>
      </c>
      <c r="I31" s="33" t="str">
        <f t="shared" si="4"/>
        <v/>
      </c>
      <c r="J31" s="121"/>
      <c r="K31" s="322"/>
      <c r="L31" s="122"/>
      <c r="M31" s="314"/>
      <c r="N31" s="35"/>
      <c r="O31" s="11"/>
      <c r="P31" s="320"/>
      <c r="Q31" s="44"/>
      <c r="R31" s="312"/>
      <c r="S31" s="19"/>
      <c r="T31" s="11"/>
    </row>
    <row r="32" spans="2:37" ht="22.5" customHeight="1" x14ac:dyDescent="0.15">
      <c r="B32" s="11"/>
      <c r="C32" s="350"/>
      <c r="D32" s="20" t="str">
        <f>IF('計算基準（非公開）'!G16=0,"","世帯員4")</f>
        <v/>
      </c>
      <c r="E32" s="21" t="str">
        <f>IF('計算基準（非公開）'!N16=0,"",'計算基準（非公開）'!N16)</f>
        <v/>
      </c>
      <c r="F32" s="22" t="str">
        <f t="shared" si="5"/>
        <v/>
      </c>
      <c r="G32" s="23" t="str">
        <f>IF(E11="","",IF(E11&lt;='計算基準（非公開）'!C8,E11,430000))</f>
        <v/>
      </c>
      <c r="H32" s="24" t="str">
        <f t="shared" si="3"/>
        <v/>
      </c>
      <c r="I32" s="23" t="str">
        <f t="shared" si="4"/>
        <v/>
      </c>
      <c r="J32" s="24"/>
      <c r="K32" s="51"/>
      <c r="L32" s="24"/>
      <c r="M32" s="314"/>
      <c r="N32" s="52"/>
      <c r="O32" s="11"/>
      <c r="P32" s="11"/>
      <c r="Q32" s="11"/>
      <c r="R32" s="11"/>
      <c r="S32" s="19"/>
      <c r="T32" s="11"/>
    </row>
    <row r="33" spans="2:23" ht="22.5" customHeight="1" x14ac:dyDescent="0.15">
      <c r="B33" s="11"/>
      <c r="C33" s="350"/>
      <c r="D33" s="53" t="str">
        <f>IF('計算基準（非公開）'!G17=0,"","世帯員5")</f>
        <v/>
      </c>
      <c r="E33" s="123" t="str">
        <f>IF('計算基準（非公開）'!N17=0,"",'計算基準（非公開）'!N17)</f>
        <v/>
      </c>
      <c r="F33" s="55" t="str">
        <f t="shared" si="5"/>
        <v/>
      </c>
      <c r="G33" s="124" t="str">
        <f>IF(E12="","",IF(E12&lt;='計算基準（非公開）'!C8,E12,430000))</f>
        <v/>
      </c>
      <c r="H33" s="57" t="str">
        <f t="shared" si="3"/>
        <v/>
      </c>
      <c r="I33" s="124" t="str">
        <f t="shared" si="4"/>
        <v/>
      </c>
      <c r="J33" s="57"/>
      <c r="K33" s="34"/>
      <c r="L33" s="57"/>
      <c r="M33" s="315"/>
      <c r="N33" s="58"/>
      <c r="O33" s="11"/>
      <c r="P33" s="11"/>
      <c r="Q33" s="11"/>
      <c r="R33" s="11"/>
      <c r="S33" s="19"/>
      <c r="T33" s="11"/>
    </row>
    <row r="34" spans="2:23" ht="5.0999999999999996" customHeight="1" x14ac:dyDescent="0.15">
      <c r="B34" s="11"/>
      <c r="C34" s="351"/>
      <c r="D34" s="18"/>
      <c r="E34" s="59"/>
      <c r="F34" s="12"/>
      <c r="G34" s="11"/>
      <c r="H34" s="12"/>
      <c r="I34" s="60"/>
      <c r="J34" s="11"/>
      <c r="K34" s="12"/>
      <c r="L34" s="11"/>
      <c r="M34" s="11"/>
      <c r="N34" s="11"/>
      <c r="O34" s="11"/>
      <c r="P34" s="11"/>
      <c r="Q34" s="11"/>
      <c r="R34" s="11"/>
      <c r="S34" s="19"/>
      <c r="T34" s="11"/>
    </row>
    <row r="35" spans="2:23" ht="5.0999999999999996" customHeight="1" x14ac:dyDescent="0.15">
      <c r="B35" s="11"/>
      <c r="C35" s="177"/>
      <c r="D35" s="125"/>
      <c r="E35" s="126"/>
      <c r="F35" s="127"/>
      <c r="G35" s="128"/>
      <c r="H35" s="127"/>
      <c r="I35" s="129"/>
      <c r="J35" s="128"/>
      <c r="K35" s="127"/>
      <c r="L35" s="128"/>
      <c r="M35" s="128"/>
      <c r="N35" s="128"/>
      <c r="O35" s="128"/>
      <c r="P35" s="128"/>
      <c r="Q35" s="128"/>
      <c r="R35" s="128"/>
      <c r="S35" s="130"/>
      <c r="T35" s="11"/>
    </row>
    <row r="36" spans="2:23" ht="22.5" customHeight="1" x14ac:dyDescent="0.15">
      <c r="B36" s="11"/>
      <c r="C36" s="352" t="s">
        <v>19</v>
      </c>
      <c r="D36" s="131"/>
      <c r="E36" s="132"/>
      <c r="F36" s="99"/>
      <c r="G36" s="98" t="s">
        <v>13</v>
      </c>
      <c r="H36" s="99"/>
      <c r="I36" s="100">
        <f>'計算基準（非公開）'!D5</f>
        <v>11000</v>
      </c>
      <c r="J36" s="99" t="s">
        <v>22</v>
      </c>
      <c r="K36" s="133">
        <f>'計算基準（非公開）'!G18</f>
        <v>0</v>
      </c>
      <c r="L36" s="99" t="s">
        <v>21</v>
      </c>
      <c r="M36" s="346">
        <f>I36*K36</f>
        <v>0</v>
      </c>
      <c r="N36" s="346"/>
      <c r="O36" s="11"/>
      <c r="P36" s="73"/>
      <c r="Q36" s="44"/>
      <c r="R36" s="44"/>
      <c r="S36" s="74"/>
      <c r="T36" s="11"/>
    </row>
    <row r="37" spans="2:23" ht="22.5" customHeight="1" x14ac:dyDescent="0.15">
      <c r="B37" s="11"/>
      <c r="C37" s="352"/>
      <c r="D37" s="75"/>
      <c r="E37" s="76"/>
      <c r="F37" s="77" t="str">
        <f>IF('計算基準（非公開）'!G18=0,"",IF(VLOOKUP("○",'計算基準（非公開）'!G33:J36,4,FALSE)=0,"","減額："))</f>
        <v/>
      </c>
      <c r="G37" s="78" t="str">
        <f>IF('計算基準（非公開）'!G18=0,"",IF(VLOOKUP("○",'計算基準（非公開）'!G33:J36,4,FALSE)=0,"",VLOOKUP("○",'計算基準（非公開）'!G33:J36,4,FALSE)))</f>
        <v/>
      </c>
      <c r="H37" s="24"/>
      <c r="I37" s="23" t="str">
        <f>IF('計算基準（非公開）'!G18=0,"",IF(VLOOKUP("○",'計算基準（非公開）'!G33:J36,4,FALSE)=0,"",0-'計算基準（非公開）'!G28/K37))</f>
        <v/>
      </c>
      <c r="J37" s="24" t="str">
        <f>IF('計算基準（非公開）'!G18=0,"",IF(VLOOKUP("○",'計算基準（非公開）'!G33:J36,4,FALSE)=0,"","×"))</f>
        <v/>
      </c>
      <c r="K37" s="80" t="str">
        <f>IF('計算基準（非公開）'!G18=0,"",IF(VLOOKUP("○",'計算基準（非公開）'!G33:J36,4,FALSE)=0,"",'計算基準（非公開）'!G18))</f>
        <v/>
      </c>
      <c r="L37" s="24" t="str">
        <f>IF('計算基準（非公開）'!G18=0,"",IF(VLOOKUP("○",'計算基準（非公開）'!G33:J36,4,FALSE)=0,"","＝"))</f>
        <v/>
      </c>
      <c r="M37" s="319" t="str">
        <f>IF('計算基準（非公開）'!G18=0,"",IF(VLOOKUP("○",'計算基準（非公開）'!G33:J36,4,FALSE)=0,"",I37*K16))</f>
        <v/>
      </c>
      <c r="N37" s="319"/>
      <c r="O37" s="11"/>
      <c r="P37" s="73">
        <f>IF(AND(M37="",M38=""),M36,IF(M37="",M36+M38,IF(M38="",M36+M37,M36+M37+M38)))</f>
        <v>0</v>
      </c>
      <c r="Q37" s="44"/>
      <c r="R37" s="81" t="s">
        <v>103</v>
      </c>
      <c r="S37" s="74"/>
      <c r="T37" s="11"/>
    </row>
    <row r="38" spans="2:23" ht="22.5" customHeight="1" x14ac:dyDescent="0.15">
      <c r="B38" s="11"/>
      <c r="C38" s="353"/>
      <c r="D38" s="82"/>
      <c r="E38" s="83"/>
      <c r="F38" s="84" t="str">
        <f>F17</f>
        <v/>
      </c>
      <c r="G38" s="85" t="str">
        <f>G17</f>
        <v/>
      </c>
      <c r="H38" s="86"/>
      <c r="I38" s="87" t="str">
        <f>IF('計算基準（非公開）'!L28=0,"",-'計算基準（非公開）'!N28/'計算基準（非公開）'!L28)</f>
        <v/>
      </c>
      <c r="J38" s="88" t="str">
        <f>J17</f>
        <v/>
      </c>
      <c r="K38" s="89" t="str">
        <f>K17</f>
        <v/>
      </c>
      <c r="L38" s="86" t="str">
        <f>L17</f>
        <v/>
      </c>
      <c r="M38" s="319" t="str">
        <f>IF('計算基準（非公開）'!N28=0,"",-'計算基準（非公開）'!N28)</f>
        <v/>
      </c>
      <c r="N38" s="342" t="e">
        <f>IF(#REF!=0,"",#REF!)</f>
        <v>#REF!</v>
      </c>
      <c r="O38" s="11"/>
      <c r="P38" s="90"/>
      <c r="Q38" s="44"/>
      <c r="R38" s="44"/>
      <c r="S38" s="74"/>
      <c r="T38" s="11"/>
      <c r="W38" s="5"/>
    </row>
    <row r="39" spans="2:23" ht="5.0999999999999996" customHeight="1" x14ac:dyDescent="0.15">
      <c r="B39" s="11"/>
      <c r="C39" s="178"/>
      <c r="D39" s="92"/>
      <c r="E39" s="93"/>
      <c r="F39" s="94"/>
      <c r="G39" s="95"/>
      <c r="H39" s="94"/>
      <c r="I39" s="96"/>
      <c r="J39" s="95"/>
      <c r="K39" s="94"/>
      <c r="L39" s="95"/>
      <c r="M39" s="95"/>
      <c r="N39" s="95"/>
      <c r="O39" s="95"/>
      <c r="P39" s="95"/>
      <c r="Q39" s="95"/>
      <c r="R39" s="95"/>
      <c r="S39" s="97"/>
      <c r="T39" s="11"/>
    </row>
    <row r="40" spans="2:23" ht="5.0999999999999996" customHeight="1" x14ac:dyDescent="0.15">
      <c r="B40" s="11"/>
      <c r="C40" s="177"/>
      <c r="D40" s="125"/>
      <c r="E40" s="126"/>
      <c r="F40" s="127"/>
      <c r="G40" s="128"/>
      <c r="H40" s="127"/>
      <c r="I40" s="129"/>
      <c r="J40" s="128"/>
      <c r="K40" s="127"/>
      <c r="L40" s="128"/>
      <c r="M40" s="128"/>
      <c r="N40" s="128"/>
      <c r="O40" s="128"/>
      <c r="P40" s="128"/>
      <c r="Q40" s="128"/>
      <c r="R40" s="128"/>
      <c r="S40" s="130"/>
      <c r="T40" s="11"/>
    </row>
    <row r="41" spans="2:23" ht="22.5" customHeight="1" x14ac:dyDescent="0.15">
      <c r="B41" s="11"/>
      <c r="C41" s="355" t="s">
        <v>50</v>
      </c>
      <c r="D41" s="131"/>
      <c r="E41" s="132"/>
      <c r="F41" s="99"/>
      <c r="G41" s="98" t="s">
        <v>14</v>
      </c>
      <c r="H41" s="99"/>
      <c r="I41" s="100">
        <f>'計算基準（非公開）'!D6</f>
        <v>7900</v>
      </c>
      <c r="J41" s="101"/>
      <c r="K41" s="102"/>
      <c r="L41" s="101"/>
      <c r="M41" s="346" t="str">
        <f>IF('計算基準（非公開）'!G18=0,"",'計算基準（非公開）'!D6)</f>
        <v/>
      </c>
      <c r="N41" s="346"/>
      <c r="O41" s="11"/>
      <c r="P41" s="320">
        <f>IF(AND(M41="",M42=""),0,IF(M42="",M41,M41+M42))</f>
        <v>0</v>
      </c>
      <c r="Q41" s="44"/>
      <c r="R41" s="311" t="s">
        <v>104</v>
      </c>
      <c r="S41" s="74"/>
      <c r="T41" s="11"/>
    </row>
    <row r="42" spans="2:23" ht="22.5" customHeight="1" x14ac:dyDescent="0.15">
      <c r="B42" s="11"/>
      <c r="C42" s="356"/>
      <c r="D42" s="75"/>
      <c r="E42" s="76"/>
      <c r="F42" s="77" t="str">
        <f>IF('計算基準（非公開）'!G18=0,"",IF(VLOOKUP("○",'計算基準（非公開）'!G33:J36,4,FALSE)=0,"","減額："))</f>
        <v/>
      </c>
      <c r="G42" s="78" t="str">
        <f>IF('計算基準（非公開）'!G18=0,"",IF(VLOOKUP("○",'計算基準（非公開）'!G33:J36,4,FALSE)=0,"",VLOOKUP("○",'計算基準（非公開）'!G33:J36,4,FALSE)))</f>
        <v/>
      </c>
      <c r="H42" s="24"/>
      <c r="I42" s="23" t="str">
        <f>IF('計算基準（非公開）'!G18=0,"",IF(VLOOKUP("○",'計算基準（非公開）'!G33:J36,4,FALSE)=0,"",0-'計算基準（非公開）'!J28))</f>
        <v/>
      </c>
      <c r="J42" s="103"/>
      <c r="K42" s="104"/>
      <c r="L42" s="103"/>
      <c r="M42" s="343" t="str">
        <f>IF('計算基準（非公開）'!G18=0,"",IF(VLOOKUP("○",'計算基準（非公開）'!G33:J36,4,FALSE)=0,"",0-'計算基準（非公開）'!J28))</f>
        <v/>
      </c>
      <c r="N42" s="343"/>
      <c r="O42" s="11"/>
      <c r="P42" s="320"/>
      <c r="Q42" s="44"/>
      <c r="R42" s="318"/>
      <c r="S42" s="74"/>
      <c r="T42" s="11"/>
    </row>
    <row r="43" spans="2:23" ht="5.0999999999999996" customHeight="1" thickBot="1" x14ac:dyDescent="0.2">
      <c r="B43" s="11"/>
      <c r="C43" s="179"/>
      <c r="D43" s="105"/>
      <c r="E43" s="106"/>
      <c r="F43" s="107"/>
      <c r="G43" s="108"/>
      <c r="H43" s="107"/>
      <c r="I43" s="109"/>
      <c r="J43" s="108"/>
      <c r="K43" s="107"/>
      <c r="L43" s="108"/>
      <c r="M43" s="108"/>
      <c r="N43" s="108"/>
      <c r="O43" s="108"/>
      <c r="P43" s="108"/>
      <c r="Q43" s="108"/>
      <c r="R43" s="108"/>
      <c r="S43" s="110"/>
      <c r="T43" s="11"/>
    </row>
    <row r="44" spans="2:23" ht="33" customHeight="1" thickTop="1" thickBot="1" x14ac:dyDescent="0.2">
      <c r="B44" s="11"/>
      <c r="C44" s="180" t="s">
        <v>40</v>
      </c>
      <c r="D44" s="181" t="s">
        <v>87</v>
      </c>
      <c r="E44" s="182"/>
      <c r="F44" s="111" t="str">
        <f>" 賦課限度額 "&amp;TEXT('計算基準（非公開）'!D7/10000,"（#,##0万円）")</f>
        <v xml:space="preserve"> 賦課限度額 (22万円)</v>
      </c>
      <c r="G44" s="112"/>
      <c r="H44" s="113"/>
      <c r="I44" s="354">
        <f>IF(ROUNDDOWN(SUM(P30:P42),-2)&gt;='計算基準（非公開）'!D7,'計算基準（非公開）'!D7,ROUNDDOWN(SUM(P30:P42),-2))</f>
        <v>0</v>
      </c>
      <c r="J44" s="354"/>
      <c r="K44" s="354"/>
      <c r="L44" s="354"/>
      <c r="M44" s="114" t="s">
        <v>17</v>
      </c>
      <c r="N44" s="112"/>
      <c r="O44" s="112"/>
      <c r="P44" s="112"/>
      <c r="Q44" s="115"/>
      <c r="R44" s="116" t="s">
        <v>105</v>
      </c>
      <c r="S44" s="134"/>
      <c r="T44" s="11"/>
    </row>
    <row r="45" spans="2:23" ht="24.95" customHeight="1" thickTop="1" x14ac:dyDescent="0.15">
      <c r="B45" s="11"/>
      <c r="C45" s="11"/>
      <c r="D45" s="12"/>
      <c r="E45" s="11"/>
      <c r="F45" s="12"/>
      <c r="G45" s="11"/>
      <c r="H45" s="12"/>
      <c r="I45" s="11"/>
      <c r="J45" s="11"/>
      <c r="K45" s="11"/>
      <c r="L45" s="11"/>
      <c r="M45" s="11"/>
      <c r="N45" s="11"/>
      <c r="O45" s="11"/>
      <c r="P45" s="11"/>
      <c r="Q45" s="11"/>
      <c r="R45" s="11"/>
      <c r="S45" s="11"/>
      <c r="T45" s="11"/>
    </row>
    <row r="46" spans="2:23" ht="22.5" customHeight="1" x14ac:dyDescent="0.15">
      <c r="B46" s="13"/>
      <c r="C46" s="169" t="s">
        <v>160</v>
      </c>
      <c r="D46" s="135"/>
      <c r="E46" s="135"/>
      <c r="F46" s="12"/>
      <c r="G46" s="14" t="str">
        <f>IF(AND(G49="",G50="",G51="",G52="",G53="",G54=""),"",IF(OR(G49&lt;430000,G50&lt;430000,G51&lt;430000,G52&lt;430000,G53&lt;430000,G54&lt;430000),"※総所得金額が43万円未満の方の基礎控除額は、総所得金額と同額となります。",""))</f>
        <v/>
      </c>
      <c r="H46" s="12"/>
      <c r="I46" s="11"/>
      <c r="J46" s="11"/>
      <c r="K46" s="11"/>
      <c r="L46" s="11"/>
      <c r="M46" s="11"/>
      <c r="N46" s="11"/>
      <c r="O46" s="11"/>
      <c r="P46" s="11"/>
      <c r="Q46" s="11"/>
      <c r="R46" s="11"/>
      <c r="S46" s="11"/>
      <c r="T46" s="11"/>
    </row>
    <row r="47" spans="2:23" ht="22.5" customHeight="1" x14ac:dyDescent="0.15">
      <c r="B47" s="11"/>
      <c r="C47" s="360" t="s">
        <v>18</v>
      </c>
      <c r="D47" s="15"/>
      <c r="E47" s="334" t="s">
        <v>8</v>
      </c>
      <c r="F47" s="334"/>
      <c r="G47" s="324" t="s">
        <v>37</v>
      </c>
      <c r="H47" s="336"/>
      <c r="I47" s="363" t="s">
        <v>38</v>
      </c>
      <c r="J47" s="326"/>
      <c r="K47" s="324" t="s">
        <v>26</v>
      </c>
      <c r="L47" s="328"/>
      <c r="M47" s="328" t="s">
        <v>25</v>
      </c>
      <c r="N47" s="16"/>
      <c r="O47" s="16"/>
      <c r="P47" s="16"/>
      <c r="Q47" s="16"/>
      <c r="R47" s="16"/>
      <c r="S47" s="17"/>
      <c r="T47" s="11"/>
    </row>
    <row r="48" spans="2:23" ht="22.5" customHeight="1" x14ac:dyDescent="0.15">
      <c r="B48" s="11"/>
      <c r="C48" s="361"/>
      <c r="D48" s="136"/>
      <c r="E48" s="362"/>
      <c r="F48" s="335"/>
      <c r="G48" s="327"/>
      <c r="H48" s="337"/>
      <c r="I48" s="364"/>
      <c r="J48" s="327"/>
      <c r="K48" s="325"/>
      <c r="L48" s="329"/>
      <c r="M48" s="330"/>
      <c r="N48" s="11"/>
      <c r="O48" s="11"/>
      <c r="P48" s="11"/>
      <c r="Q48" s="11"/>
      <c r="R48" s="11"/>
      <c r="S48" s="19"/>
      <c r="T48" s="11"/>
    </row>
    <row r="49" spans="2:20" ht="22.5" customHeight="1" x14ac:dyDescent="0.15">
      <c r="B49" s="11"/>
      <c r="C49" s="361"/>
      <c r="D49" s="20" t="str">
        <f>IF('計算基準（非公開）'!H12=0,"","世帯主")</f>
        <v/>
      </c>
      <c r="E49" s="137" t="str">
        <f>IF('計算基準（非公開）'!D12=1,IF('計算基準（非公開）'!F12=3,IF('計算基準（非公開）'!N12=0,"",'計算基準（非公開）'!N12),""),"")</f>
        <v/>
      </c>
      <c r="F49" s="22" t="str">
        <f>IF(E49="","","－")</f>
        <v/>
      </c>
      <c r="G49" s="138" t="str">
        <f>IF('計算基準（非公開）'!F12=3,IF(E7="","",IF(E7&lt;='計算基準（非公開）'!C8,E7,430000)),"")</f>
        <v/>
      </c>
      <c r="H49" s="24" t="str">
        <f t="shared" ref="H49:H54" si="6">IF(E49="","","＝")</f>
        <v/>
      </c>
      <c r="I49" s="138" t="str">
        <f t="shared" ref="I49:I54" si="7">IF(E49="","",IF(E49=0,"",E49-G49))</f>
        <v/>
      </c>
      <c r="J49" s="24"/>
      <c r="K49" s="25"/>
      <c r="L49" s="139"/>
      <c r="M49" s="323">
        <f>'計算基準（非公開）'!E4</f>
        <v>2.2499999999999999E-2</v>
      </c>
      <c r="N49" s="140"/>
      <c r="O49" s="11"/>
      <c r="P49" s="11"/>
      <c r="Q49" s="11"/>
      <c r="R49" s="11"/>
      <c r="S49" s="19"/>
      <c r="T49" s="11"/>
    </row>
    <row r="50" spans="2:20" ht="22.5" customHeight="1" x14ac:dyDescent="0.15">
      <c r="B50" s="11"/>
      <c r="C50" s="361"/>
      <c r="D50" s="28" t="str">
        <f>IF('計算基準（非公開）'!H13=0,"","世帯員1")</f>
        <v/>
      </c>
      <c r="E50" s="141" t="str">
        <f>IF('計算基準（非公開）'!F13=4,IF('計算基準（非公開）'!N13=0,"",'計算基準（非公開）'!N13),"")</f>
        <v/>
      </c>
      <c r="F50" s="30" t="str">
        <f t="shared" ref="F50:F54" si="8">IF(E50="","","－")</f>
        <v/>
      </c>
      <c r="G50" s="142" t="str">
        <f>IF('計算基準（非公開）'!F13=4,IF(E8="","",IF(E8&lt;='計算基準（非公開）'!C8,E8,430000)),"")</f>
        <v/>
      </c>
      <c r="H50" s="32" t="str">
        <f t="shared" si="6"/>
        <v/>
      </c>
      <c r="I50" s="142" t="str">
        <f>IF(E50="","",IF(E50=0,"",E50-G50))</f>
        <v/>
      </c>
      <c r="J50" s="32"/>
      <c r="K50" s="143"/>
      <c r="L50" s="121"/>
      <c r="M50" s="314"/>
      <c r="N50" s="35"/>
      <c r="O50" s="11"/>
      <c r="P50" s="11"/>
      <c r="Q50" s="11"/>
      <c r="R50" s="11"/>
      <c r="S50" s="19"/>
      <c r="T50" s="11"/>
    </row>
    <row r="51" spans="2:20" ht="22.5" customHeight="1" x14ac:dyDescent="0.15">
      <c r="B51" s="11"/>
      <c r="C51" s="361"/>
      <c r="D51" s="20" t="str">
        <f>IF('計算基準（非公開）'!H14=0,"","世帯員2")</f>
        <v/>
      </c>
      <c r="E51" s="21" t="str">
        <f>IF('計算基準（非公開）'!F14=4,IF('計算基準（非公開）'!N14=0,"",'計算基準（非公開）'!N14),"")</f>
        <v/>
      </c>
      <c r="F51" s="22" t="str">
        <f t="shared" si="8"/>
        <v/>
      </c>
      <c r="G51" s="23" t="str">
        <f>IF('計算基準（非公開）'!F14=4,IF(E9="","",IF(E9&lt;='計算基準（非公開）'!C8,E9,430000)),"")</f>
        <v/>
      </c>
      <c r="H51" s="24" t="str">
        <f t="shared" si="6"/>
        <v/>
      </c>
      <c r="I51" s="23" t="str">
        <f t="shared" si="7"/>
        <v/>
      </c>
      <c r="J51" s="119"/>
      <c r="K51" s="321">
        <f>SUM(I49:I54)</f>
        <v>0</v>
      </c>
      <c r="L51" s="144"/>
      <c r="M51" s="314"/>
      <c r="N51" s="52"/>
      <c r="O51" s="11"/>
      <c r="P51" s="320">
        <f>ROUNDDOWN(K51*M49,0)</f>
        <v>0</v>
      </c>
      <c r="Q51" s="198"/>
      <c r="R51" s="311" t="s">
        <v>106</v>
      </c>
      <c r="S51" s="19"/>
      <c r="T51" s="11"/>
    </row>
    <row r="52" spans="2:20" ht="22.5" customHeight="1" x14ac:dyDescent="0.15">
      <c r="B52" s="11"/>
      <c r="C52" s="361"/>
      <c r="D52" s="28" t="str">
        <f>IF('計算基準（非公開）'!H15=0,"","世帯員3")</f>
        <v/>
      </c>
      <c r="E52" s="141" t="str">
        <f>IF('計算基準（非公開）'!F15=4,IF('計算基準（非公開）'!N15=0,"",'計算基準（非公開）'!N15),"")</f>
        <v/>
      </c>
      <c r="F52" s="30" t="str">
        <f t="shared" si="8"/>
        <v/>
      </c>
      <c r="G52" s="142" t="str">
        <f>IF('計算基準（非公開）'!F15=4,IF(E10="","",IF(E10&lt;='計算基準（非公開）'!C8,E10,430000)),"")</f>
        <v/>
      </c>
      <c r="H52" s="32" t="str">
        <f t="shared" si="6"/>
        <v/>
      </c>
      <c r="I52" s="142" t="str">
        <f t="shared" si="7"/>
        <v/>
      </c>
      <c r="J52" s="121"/>
      <c r="K52" s="322"/>
      <c r="L52" s="145"/>
      <c r="M52" s="314"/>
      <c r="N52" s="35"/>
      <c r="O52" s="11"/>
      <c r="P52" s="320"/>
      <c r="Q52" s="198"/>
      <c r="R52" s="311"/>
      <c r="S52" s="19"/>
      <c r="T52" s="11"/>
    </row>
    <row r="53" spans="2:20" ht="22.5" customHeight="1" x14ac:dyDescent="0.15">
      <c r="B53" s="11"/>
      <c r="C53" s="361"/>
      <c r="D53" s="20" t="str">
        <f>IF('計算基準（非公開）'!H16=0,"","世帯員4")</f>
        <v/>
      </c>
      <c r="E53" s="21" t="str">
        <f>IF('計算基準（非公開）'!F16=4,IF('計算基準（非公開）'!N16=0,"",'計算基準（非公開）'!N16),"")</f>
        <v/>
      </c>
      <c r="F53" s="22" t="str">
        <f t="shared" si="8"/>
        <v/>
      </c>
      <c r="G53" s="23" t="str">
        <f>IF('計算基準（非公開）'!F16=4,IF(E11="","",IF(E11&lt;='計算基準（非公開）'!C8,E11,430000)),"")</f>
        <v/>
      </c>
      <c r="H53" s="24" t="str">
        <f t="shared" si="6"/>
        <v/>
      </c>
      <c r="I53" s="23" t="str">
        <f t="shared" si="7"/>
        <v/>
      </c>
      <c r="J53" s="24"/>
      <c r="K53" s="146"/>
      <c r="L53" s="41"/>
      <c r="M53" s="314"/>
      <c r="N53" s="52"/>
      <c r="O53" s="11"/>
      <c r="P53" s="11"/>
      <c r="Q53" s="11"/>
      <c r="R53" s="11"/>
      <c r="S53" s="19"/>
      <c r="T53" s="11"/>
    </row>
    <row r="54" spans="2:20" ht="22.5" customHeight="1" x14ac:dyDescent="0.15">
      <c r="B54" s="11"/>
      <c r="C54" s="361"/>
      <c r="D54" s="53" t="str">
        <f>IF('計算基準（非公開）'!H17=0,"","世帯員5")</f>
        <v/>
      </c>
      <c r="E54" s="54" t="str">
        <f>IF('計算基準（非公開）'!F17=4,IF('計算基準（非公開）'!N17=0,"",'計算基準（非公開）'!N17),"")</f>
        <v/>
      </c>
      <c r="F54" s="55" t="str">
        <f t="shared" si="8"/>
        <v/>
      </c>
      <c r="G54" s="56" t="str">
        <f>IF('計算基準（非公開）'!F17=4,IF(E12="","",IF(E12&lt;='計算基準（非公開）'!C8,E12,430000)),"")</f>
        <v/>
      </c>
      <c r="H54" s="57" t="str">
        <f t="shared" si="6"/>
        <v/>
      </c>
      <c r="I54" s="56" t="str">
        <f t="shared" si="7"/>
        <v/>
      </c>
      <c r="J54" s="57"/>
      <c r="K54" s="34"/>
      <c r="L54" s="147"/>
      <c r="M54" s="315"/>
      <c r="N54" s="58"/>
      <c r="O54" s="11"/>
      <c r="P54" s="11"/>
      <c r="Q54" s="11"/>
      <c r="R54" s="11"/>
      <c r="S54" s="19"/>
      <c r="T54" s="11"/>
    </row>
    <row r="55" spans="2:20" ht="5.0999999999999996" customHeight="1" x14ac:dyDescent="0.15">
      <c r="B55" s="11"/>
      <c r="C55" s="361"/>
      <c r="D55" s="92"/>
      <c r="E55" s="93"/>
      <c r="F55" s="94"/>
      <c r="G55" s="95"/>
      <c r="H55" s="94"/>
      <c r="I55" s="96"/>
      <c r="J55" s="95"/>
      <c r="K55" s="94"/>
      <c r="L55" s="95"/>
      <c r="M55" s="11"/>
      <c r="N55" s="95"/>
      <c r="O55" s="11"/>
      <c r="P55" s="11"/>
      <c r="Q55" s="11"/>
      <c r="R55" s="11"/>
      <c r="S55" s="19"/>
      <c r="T55" s="11"/>
    </row>
    <row r="56" spans="2:20" ht="5.0999999999999996" customHeight="1" x14ac:dyDescent="0.15">
      <c r="B56" s="11"/>
      <c r="C56" s="183"/>
      <c r="D56" s="125"/>
      <c r="E56" s="126"/>
      <c r="F56" s="127"/>
      <c r="G56" s="128"/>
      <c r="H56" s="127"/>
      <c r="I56" s="129"/>
      <c r="J56" s="128"/>
      <c r="K56" s="127"/>
      <c r="L56" s="128"/>
      <c r="M56" s="128"/>
      <c r="N56" s="128"/>
      <c r="O56" s="128"/>
      <c r="P56" s="128"/>
      <c r="Q56" s="128"/>
      <c r="R56" s="128"/>
      <c r="S56" s="130"/>
      <c r="T56" s="11"/>
    </row>
    <row r="57" spans="2:20" ht="22.5" customHeight="1" x14ac:dyDescent="0.15">
      <c r="B57" s="11"/>
      <c r="C57" s="377" t="s">
        <v>19</v>
      </c>
      <c r="D57" s="18"/>
      <c r="E57" s="148"/>
      <c r="F57" s="12"/>
      <c r="G57" s="149" t="s">
        <v>13</v>
      </c>
      <c r="H57" s="12"/>
      <c r="I57" s="150">
        <f>'計算基準（非公開）'!E5</f>
        <v>12000</v>
      </c>
      <c r="J57" s="12" t="s">
        <v>22</v>
      </c>
      <c r="K57" s="151">
        <f>'計算基準（非公開）'!H18</f>
        <v>0</v>
      </c>
      <c r="L57" s="12" t="s">
        <v>21</v>
      </c>
      <c r="M57" s="346">
        <f>I57*K57</f>
        <v>0</v>
      </c>
      <c r="N57" s="346"/>
      <c r="O57" s="11"/>
      <c r="P57" s="320">
        <f>IF(M58="",M57,M57+M58)</f>
        <v>0</v>
      </c>
      <c r="Q57" s="311" t="s">
        <v>103</v>
      </c>
      <c r="R57" s="311"/>
      <c r="S57" s="74"/>
      <c r="T57" s="11"/>
    </row>
    <row r="58" spans="2:20" ht="22.5" customHeight="1" x14ac:dyDescent="0.15">
      <c r="B58" s="11"/>
      <c r="C58" s="378"/>
      <c r="D58" s="82"/>
      <c r="E58" s="83"/>
      <c r="F58" s="84" t="str">
        <f>IF('計算基準（非公開）'!H18=0,"",IF(VLOOKUP("○",'計算基準（非公開）'!G33:J36,4,FALSE)=0,"","減額："))</f>
        <v/>
      </c>
      <c r="G58" s="152" t="str">
        <f>IF('計算基準（非公開）'!H18=0,"",IF(VLOOKUP("○",'計算基準（非公開）'!G33:J36,4,FALSE)=0,"",VLOOKUP("○",'計算基準（非公開）'!G33:J36,4,FALSE)))</f>
        <v/>
      </c>
      <c r="H58" s="86"/>
      <c r="I58" s="153" t="str">
        <f>IF('計算基準（非公開）'!H18=0,"",IF(VLOOKUP("○",'計算基準（非公開）'!G33:J36,4,FALSE)=0,"",0-'計算基準（非公開）'!H28/K58))</f>
        <v/>
      </c>
      <c r="J58" s="86" t="str">
        <f>IF('計算基準（非公開）'!H18=0,"",IF(VLOOKUP("○",'計算基準（非公開）'!G33:J36,4,FALSE)=0,"","×"))</f>
        <v/>
      </c>
      <c r="K58" s="89" t="str">
        <f>IF('計算基準（非公開）'!H18=0,"",IF(VLOOKUP("○",'計算基準（非公開）'!G33:J36,4,FALSE)=0,"",'計算基準（非公開）'!H18))</f>
        <v/>
      </c>
      <c r="L58" s="86" t="str">
        <f>IF('計算基準（非公開）'!H18=0,"",IF(VLOOKUP("○",'計算基準（非公開）'!G33:J36,4,FALSE)=0,"","＝"))</f>
        <v/>
      </c>
      <c r="M58" s="319" t="str">
        <f>IF('計算基準（非公開）'!H18=0,"",IF(VLOOKUP("○",'計算基準（非公開）'!G33:J36,4,FALSE)=0,"",I58*K58))</f>
        <v/>
      </c>
      <c r="N58" s="319"/>
      <c r="O58" s="11"/>
      <c r="P58" s="320"/>
      <c r="Q58" s="311"/>
      <c r="R58" s="311"/>
      <c r="S58" s="74"/>
      <c r="T58" s="11"/>
    </row>
    <row r="59" spans="2:20" ht="5.0999999999999996" customHeight="1" x14ac:dyDescent="0.15">
      <c r="B59" s="11"/>
      <c r="C59" s="184"/>
      <c r="D59" s="92"/>
      <c r="E59" s="93"/>
      <c r="F59" s="94"/>
      <c r="G59" s="95"/>
      <c r="H59" s="94"/>
      <c r="I59" s="96"/>
      <c r="J59" s="95"/>
      <c r="K59" s="94"/>
      <c r="L59" s="95"/>
      <c r="M59" s="95"/>
      <c r="N59" s="95"/>
      <c r="O59" s="95"/>
      <c r="P59" s="95"/>
      <c r="Q59" s="95"/>
      <c r="R59" s="95"/>
      <c r="S59" s="97"/>
      <c r="T59" s="11"/>
    </row>
    <row r="60" spans="2:20" ht="5.0999999999999996" customHeight="1" x14ac:dyDescent="0.15">
      <c r="B60" s="11"/>
      <c r="C60" s="185"/>
      <c r="D60" s="18"/>
      <c r="E60" s="59"/>
      <c r="F60" s="12"/>
      <c r="G60" s="11"/>
      <c r="H60" s="12"/>
      <c r="I60" s="60"/>
      <c r="J60" s="11"/>
      <c r="K60" s="12"/>
      <c r="L60" s="11"/>
      <c r="M60" s="11"/>
      <c r="N60" s="11"/>
      <c r="O60" s="11"/>
      <c r="P60" s="11"/>
      <c r="Q60" s="11"/>
      <c r="R60" s="11"/>
      <c r="S60" s="19"/>
      <c r="T60" s="11"/>
    </row>
    <row r="61" spans="2:20" ht="22.5" customHeight="1" x14ac:dyDescent="0.15">
      <c r="B61" s="11"/>
      <c r="C61" s="379" t="s">
        <v>50</v>
      </c>
      <c r="D61" s="18"/>
      <c r="E61" s="148"/>
      <c r="F61" s="12"/>
      <c r="G61" s="149" t="s">
        <v>14</v>
      </c>
      <c r="H61" s="12"/>
      <c r="I61" s="150">
        <f>'計算基準（非公開）'!E6</f>
        <v>6100</v>
      </c>
      <c r="J61" s="11"/>
      <c r="K61" s="154"/>
      <c r="L61" s="11"/>
      <c r="M61" s="346" t="str">
        <f>IF('計算基準（非公開）'!H18=0,"",I61)</f>
        <v/>
      </c>
      <c r="N61" s="346"/>
      <c r="O61" s="11"/>
      <c r="P61" s="320">
        <f>IF(AND(M61="",M62=""),0,IF(M62="",M61,M61+M62))</f>
        <v>0</v>
      </c>
      <c r="Q61" s="311" t="s">
        <v>107</v>
      </c>
      <c r="R61" s="311"/>
      <c r="S61" s="74"/>
      <c r="T61" s="11"/>
    </row>
    <row r="62" spans="2:20" ht="22.5" customHeight="1" x14ac:dyDescent="0.15">
      <c r="B62" s="11"/>
      <c r="C62" s="380"/>
      <c r="D62" s="82"/>
      <c r="E62" s="83"/>
      <c r="F62" s="84" t="str">
        <f>IF('計算基準（非公開）'!H18=0,"",IF(VLOOKUP("○",'計算基準（非公開）'!G33:J36,4,FALSE)=0,"","減額："))</f>
        <v/>
      </c>
      <c r="G62" s="152" t="str">
        <f>IF('計算基準（非公開）'!H18=0,"",IF(VLOOKUP("○",'計算基準（非公開）'!G33:J36,4,FALSE)=0,"",VLOOKUP("○",'計算基準（非公開）'!G33:J36,4,FALSE)))</f>
        <v/>
      </c>
      <c r="H62" s="86"/>
      <c r="I62" s="153" t="str">
        <f>IF('計算基準（非公開）'!H18=0,"",IF(VLOOKUP("○",'計算基準（非公開）'!G33:J36,4,FALSE)=0,"",0-'計算基準（非公開）'!K28))</f>
        <v/>
      </c>
      <c r="J62" s="155"/>
      <c r="K62" s="156"/>
      <c r="L62" s="155"/>
      <c r="M62" s="319" t="str">
        <f>IF('計算基準（非公開）'!H18=0,"",IF(VLOOKUP("○",'計算基準（非公開）'!G33:J36,4,FALSE)=0,"",0-'計算基準（非公開）'!K28))</f>
        <v/>
      </c>
      <c r="N62" s="319"/>
      <c r="O62" s="11"/>
      <c r="P62" s="320"/>
      <c r="Q62" s="311"/>
      <c r="R62" s="311"/>
      <c r="S62" s="74"/>
      <c r="T62" s="11"/>
    </row>
    <row r="63" spans="2:20" ht="5.0999999999999996" customHeight="1" thickBot="1" x14ac:dyDescent="0.2">
      <c r="B63" s="11"/>
      <c r="C63" s="185"/>
      <c r="D63" s="92"/>
      <c r="E63" s="93"/>
      <c r="F63" s="12"/>
      <c r="G63" s="95"/>
      <c r="H63" s="12"/>
      <c r="I63" s="96"/>
      <c r="J63" s="11"/>
      <c r="K63" s="94"/>
      <c r="L63" s="95"/>
      <c r="M63" s="95"/>
      <c r="N63" s="95"/>
      <c r="O63" s="95"/>
      <c r="P63" s="95"/>
      <c r="Q63" s="95"/>
      <c r="R63" s="95"/>
      <c r="S63" s="97"/>
      <c r="T63" s="11"/>
    </row>
    <row r="64" spans="2:20" ht="33" customHeight="1" thickTop="1" thickBot="1" x14ac:dyDescent="0.2">
      <c r="B64" s="11"/>
      <c r="C64" s="186" t="s">
        <v>85</v>
      </c>
      <c r="D64" s="187" t="s">
        <v>86</v>
      </c>
      <c r="E64" s="188"/>
      <c r="F64" s="157" t="str">
        <f>" 賦課限度額 "&amp;TEXT('計算基準（非公開）'!E7/10000,"（#,##0万円）")</f>
        <v xml:space="preserve"> 賦課限度額 (17万円)</v>
      </c>
      <c r="G64" s="112"/>
      <c r="H64" s="113"/>
      <c r="I64" s="354">
        <f>IF(ROUNDDOWN(SUM(計算の詳細!P51:P62),-2)&gt;='計算基準（非公開）'!E7,'計算基準（非公開）'!E7,ROUNDDOWN(SUM(計算の詳細!P51:P62),-2))</f>
        <v>0</v>
      </c>
      <c r="J64" s="354"/>
      <c r="K64" s="354"/>
      <c r="L64" s="354"/>
      <c r="M64" s="114" t="s">
        <v>17</v>
      </c>
      <c r="N64" s="112"/>
      <c r="O64" s="112"/>
      <c r="P64" s="112"/>
      <c r="Q64" s="115"/>
      <c r="R64" s="116" t="s">
        <v>108</v>
      </c>
      <c r="S64" s="134"/>
      <c r="T64" s="11"/>
    </row>
    <row r="65" spans="2:20" ht="15" customHeight="1" thickTop="1" thickBot="1" x14ac:dyDescent="0.2">
      <c r="B65" s="11"/>
      <c r="C65" s="158"/>
      <c r="D65" s="159"/>
      <c r="E65" s="158"/>
      <c r="F65" s="160"/>
      <c r="G65" s="161"/>
      <c r="H65" s="368"/>
      <c r="I65" s="369"/>
      <c r="J65" s="158"/>
      <c r="K65" s="158"/>
      <c r="L65" s="162"/>
      <c r="M65" s="370"/>
      <c r="N65" s="370"/>
      <c r="O65" s="162"/>
      <c r="P65" s="162"/>
      <c r="Q65" s="158"/>
      <c r="R65" s="158"/>
      <c r="S65" s="158"/>
      <c r="T65" s="11"/>
    </row>
    <row r="66" spans="2:20" ht="15" customHeight="1" thickBot="1" x14ac:dyDescent="0.2">
      <c r="B66" s="11"/>
      <c r="C66" s="11"/>
      <c r="D66" s="12"/>
      <c r="E66" s="11"/>
      <c r="F66" s="163"/>
      <c r="G66" s="164"/>
      <c r="H66" s="165"/>
      <c r="I66" s="166"/>
      <c r="J66" s="11"/>
      <c r="K66" s="11"/>
      <c r="L66" s="13"/>
      <c r="M66" s="167"/>
      <c r="N66" s="167"/>
      <c r="O66" s="13"/>
      <c r="P66" s="13"/>
      <c r="Q66" s="11"/>
      <c r="R66" s="11"/>
      <c r="S66" s="11"/>
      <c r="T66" s="11"/>
    </row>
    <row r="67" spans="2:20" ht="45" customHeight="1" thickBot="1" x14ac:dyDescent="0.2">
      <c r="B67" s="9"/>
      <c r="C67" s="9"/>
      <c r="D67" s="10"/>
      <c r="E67" s="9"/>
      <c r="F67" s="10"/>
      <c r="G67" s="9"/>
      <c r="H67" s="10"/>
      <c r="I67" s="189" t="s">
        <v>34</v>
      </c>
      <c r="J67" s="190"/>
      <c r="K67" s="190"/>
      <c r="L67" s="190"/>
      <c r="M67" s="190"/>
      <c r="N67" s="190"/>
      <c r="O67" s="191"/>
      <c r="P67" s="371">
        <f>I23+I44+I64</f>
        <v>0</v>
      </c>
      <c r="Q67" s="372"/>
      <c r="R67" s="372"/>
      <c r="S67" s="373"/>
      <c r="T67" s="9"/>
    </row>
    <row r="68" spans="2:20" ht="4.5" customHeight="1" x14ac:dyDescent="0.15">
      <c r="B68" s="11"/>
      <c r="C68" s="11"/>
      <c r="D68" s="12"/>
      <c r="E68" s="11"/>
      <c r="F68" s="163"/>
      <c r="G68" s="164"/>
      <c r="H68" s="374"/>
      <c r="I68" s="375"/>
      <c r="J68" s="11"/>
      <c r="K68" s="11"/>
      <c r="L68" s="13"/>
      <c r="M68" s="376"/>
      <c r="N68" s="376"/>
      <c r="O68" s="13"/>
      <c r="P68" s="13"/>
      <c r="Q68" s="11"/>
      <c r="R68" s="11"/>
      <c r="S68" s="11"/>
      <c r="T68" s="11"/>
    </row>
    <row r="69" spans="2:20" ht="30" customHeight="1" x14ac:dyDescent="0.15">
      <c r="B69" s="9"/>
      <c r="C69" s="9"/>
      <c r="D69" s="10"/>
      <c r="E69" s="9"/>
      <c r="F69" s="10"/>
      <c r="G69" s="9"/>
      <c r="H69" s="10"/>
      <c r="I69" s="192" t="s">
        <v>35</v>
      </c>
      <c r="J69" s="193"/>
      <c r="K69" s="193"/>
      <c r="L69" s="193"/>
      <c r="M69" s="193"/>
      <c r="N69" s="193"/>
      <c r="O69" s="194"/>
      <c r="P69" s="357">
        <f>P67/12</f>
        <v>0</v>
      </c>
      <c r="Q69" s="358"/>
      <c r="R69" s="358"/>
      <c r="S69" s="359"/>
      <c r="T69" s="9"/>
    </row>
    <row r="70" spans="2:20" ht="6.75" customHeight="1" x14ac:dyDescent="0.15">
      <c r="B70" s="9"/>
      <c r="C70" s="9"/>
      <c r="D70" s="10"/>
      <c r="E70" s="9"/>
      <c r="F70" s="10"/>
      <c r="G70" s="9"/>
      <c r="H70" s="10"/>
      <c r="I70" s="9"/>
      <c r="J70" s="9"/>
      <c r="K70" s="9"/>
      <c r="L70" s="9"/>
      <c r="M70" s="9"/>
      <c r="N70" s="9"/>
      <c r="O70" s="9"/>
      <c r="P70" s="9"/>
      <c r="Q70" s="9"/>
      <c r="R70" s="9"/>
      <c r="S70" s="9"/>
      <c r="T70" s="9"/>
    </row>
  </sheetData>
  <sheetProtection algorithmName="SHA-512" hashValue="q3mm1whp4nySA71v2eI97EE2Hwjhe8jZ5ipPRdpD14D1wRqPbh4gNZKHrcAvR3jsjuo7zsR5LobLM4tUc1NmXQ==" saltValue="4qO/FUDll9BtL6axnsa/nA==" spinCount="100000" sheet="1" objects="1" scenarios="1"/>
  <mergeCells count="80">
    <mergeCell ref="C2:S2"/>
    <mergeCell ref="H65:I65"/>
    <mergeCell ref="M65:N65"/>
    <mergeCell ref="P67:S67"/>
    <mergeCell ref="H68:I68"/>
    <mergeCell ref="M68:N68"/>
    <mergeCell ref="M47:M48"/>
    <mergeCell ref="M49:M54"/>
    <mergeCell ref="K51:K52"/>
    <mergeCell ref="P51:P52"/>
    <mergeCell ref="C57:C58"/>
    <mergeCell ref="M57:N57"/>
    <mergeCell ref="P57:P58"/>
    <mergeCell ref="Q57:R58"/>
    <mergeCell ref="M58:N58"/>
    <mergeCell ref="C61:C62"/>
    <mergeCell ref="P69:S69"/>
    <mergeCell ref="I64:L64"/>
    <mergeCell ref="C47:C55"/>
    <mergeCell ref="E47:E48"/>
    <mergeCell ref="F47:F48"/>
    <mergeCell ref="G47:G48"/>
    <mergeCell ref="H47:H48"/>
    <mergeCell ref="R51:R52"/>
    <mergeCell ref="M61:N61"/>
    <mergeCell ref="P61:P62"/>
    <mergeCell ref="Q61:R62"/>
    <mergeCell ref="M62:N62"/>
    <mergeCell ref="I47:I48"/>
    <mergeCell ref="J47:J48"/>
    <mergeCell ref="K47:K48"/>
    <mergeCell ref="L47:L48"/>
    <mergeCell ref="C36:C38"/>
    <mergeCell ref="M36:N36"/>
    <mergeCell ref="M37:N37"/>
    <mergeCell ref="M38:N38"/>
    <mergeCell ref="I44:L44"/>
    <mergeCell ref="C41:C42"/>
    <mergeCell ref="M41:N41"/>
    <mergeCell ref="P41:P42"/>
    <mergeCell ref="R41:R42"/>
    <mergeCell ref="M42:N42"/>
    <mergeCell ref="C20:C21"/>
    <mergeCell ref="M20:N20"/>
    <mergeCell ref="P20:P21"/>
    <mergeCell ref="I23:L23"/>
    <mergeCell ref="C26:C34"/>
    <mergeCell ref="E26:E27"/>
    <mergeCell ref="F26:F27"/>
    <mergeCell ref="G26:G27"/>
    <mergeCell ref="H26:H27"/>
    <mergeCell ref="I26:I27"/>
    <mergeCell ref="J26:J27"/>
    <mergeCell ref="K26:K27"/>
    <mergeCell ref="L26:L27"/>
    <mergeCell ref="C15:C17"/>
    <mergeCell ref="M15:N15"/>
    <mergeCell ref="M16:N16"/>
    <mergeCell ref="M17:N17"/>
    <mergeCell ref="M26:M27"/>
    <mergeCell ref="C5:C13"/>
    <mergeCell ref="E5:E6"/>
    <mergeCell ref="F5:F6"/>
    <mergeCell ref="G5:G6"/>
    <mergeCell ref="H5:H6"/>
    <mergeCell ref="I5:I6"/>
    <mergeCell ref="J5:J6"/>
    <mergeCell ref="K5:K6"/>
    <mergeCell ref="L5:L6"/>
    <mergeCell ref="M5:M6"/>
    <mergeCell ref="R30:R31"/>
    <mergeCell ref="M7:M12"/>
    <mergeCell ref="K9:K10"/>
    <mergeCell ref="R20:R21"/>
    <mergeCell ref="M21:N21"/>
    <mergeCell ref="P9:P10"/>
    <mergeCell ref="R9:R10"/>
    <mergeCell ref="K30:K31"/>
    <mergeCell ref="P30:P31"/>
    <mergeCell ref="M28:M33"/>
  </mergeCells>
  <phoneticPr fontId="2"/>
  <printOptions horizontalCentered="1"/>
  <pageMargins left="0.39370078740157483" right="0.39370078740157483" top="0.39370078740157483" bottom="0.39370078740157483" header="0.70866141732283472" footer="0"/>
  <pageSetup paperSize="9" scale="64" orientation="portrait" r:id="rId1"/>
  <headerFooter alignWithMargins="0">
    <oddHeader>&amp;R&amp;"BIZ UDゴシック,標準"&amp;D</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55"/>
  <sheetViews>
    <sheetView zoomScale="80" zoomScaleNormal="80" workbookViewId="0">
      <selection activeCell="R20" sqref="R20"/>
    </sheetView>
  </sheetViews>
  <sheetFormatPr defaultRowHeight="13.5" x14ac:dyDescent="0.15"/>
  <cols>
    <col min="3" max="3" width="9.125" bestFit="1" customWidth="1"/>
    <col min="4" max="5" width="9.25" bestFit="1" customWidth="1"/>
    <col min="9" max="9" width="9.25" bestFit="1" customWidth="1"/>
  </cols>
  <sheetData>
    <row r="1" spans="1:16" x14ac:dyDescent="0.15">
      <c r="A1" s="217"/>
      <c r="B1" s="217"/>
      <c r="C1" s="217"/>
      <c r="D1" s="217"/>
      <c r="E1" s="217"/>
      <c r="F1" s="217"/>
      <c r="G1" s="217"/>
      <c r="H1" s="217"/>
      <c r="I1" s="217"/>
      <c r="J1" s="217"/>
      <c r="K1" s="217"/>
      <c r="L1" s="217"/>
      <c r="M1" s="217"/>
      <c r="N1" s="217"/>
      <c r="O1" s="217"/>
      <c r="P1" s="217"/>
    </row>
    <row r="2" spans="1:16" x14ac:dyDescent="0.15">
      <c r="A2" s="217"/>
      <c r="B2" s="217" t="s">
        <v>129</v>
      </c>
      <c r="C2" s="217"/>
      <c r="D2" s="217"/>
      <c r="E2" s="217"/>
      <c r="F2" s="217"/>
      <c r="G2" s="217"/>
      <c r="H2" s="218" t="s">
        <v>72</v>
      </c>
      <c r="I2" s="218" t="s">
        <v>73</v>
      </c>
      <c r="J2" s="218" t="s">
        <v>74</v>
      </c>
      <c r="K2" s="218" t="s">
        <v>75</v>
      </c>
      <c r="L2" s="218" t="s">
        <v>76</v>
      </c>
      <c r="M2" s="218" t="s">
        <v>77</v>
      </c>
      <c r="N2" s="217"/>
      <c r="O2" s="217"/>
      <c r="P2" s="217"/>
    </row>
    <row r="3" spans="1:16" x14ac:dyDescent="0.15">
      <c r="A3" s="217"/>
      <c r="B3" s="219"/>
      <c r="C3" s="218" t="s">
        <v>161</v>
      </c>
      <c r="D3" s="218" t="s">
        <v>162</v>
      </c>
      <c r="E3" s="218" t="s">
        <v>163</v>
      </c>
      <c r="F3" s="217"/>
      <c r="G3" s="219" t="str">
        <f>IF(L3&gt;0,IF(I3=TRUE,"世帯主 ",""),"")</f>
        <v/>
      </c>
      <c r="H3" s="241" t="b">
        <v>0</v>
      </c>
      <c r="I3" s="219" t="b">
        <f>AND(H3=TRUE,F12&lt;4)</f>
        <v>0</v>
      </c>
      <c r="J3" s="219">
        <f>VLOOKUP(試算シート!S25,'所得計算（非公開）'!B3:C13,2,1)</f>
        <v>0</v>
      </c>
      <c r="K3" s="219">
        <f>IF(AND(J3&gt;0,L12&gt;0),IF(IF(J3&gt;100000,100000,J3)+IF(L12&gt;100000,100000,L12)&gt;100000,IF(J3&gt;100000,100000,J3)+IF(L12&gt;100000,100000,L12)-100000,J3),0)</f>
        <v>0</v>
      </c>
      <c r="L3" s="219">
        <f>J3-K3</f>
        <v>0</v>
      </c>
      <c r="M3" s="221">
        <f>IF(I3=TRUE,L3*0.3,L3)</f>
        <v>0</v>
      </c>
      <c r="N3" s="217"/>
      <c r="O3" s="217"/>
      <c r="P3" s="217"/>
    </row>
    <row r="4" spans="1:16" x14ac:dyDescent="0.15">
      <c r="A4" s="217"/>
      <c r="B4" s="220" t="s">
        <v>5</v>
      </c>
      <c r="C4" s="219">
        <v>6.2399999999999997E-2</v>
      </c>
      <c r="D4" s="219">
        <v>2.52E-2</v>
      </c>
      <c r="E4" s="219">
        <v>2.2499999999999999E-2</v>
      </c>
      <c r="F4" s="217"/>
      <c r="G4" s="219" t="str">
        <f>IF(G13=1,IF(L4&gt;0,IF(I4=TRUE,"世帯員1 ",""),""),"")</f>
        <v/>
      </c>
      <c r="H4" s="241" t="b">
        <v>0</v>
      </c>
      <c r="I4" s="219" t="b">
        <f>AND(G13=1,H4=TRUE,F13&gt;1,F13&lt;5)</f>
        <v>0</v>
      </c>
      <c r="J4" s="219">
        <f>VLOOKUP(試算シート!S26,'所得計算（非公開）'!B16:C26,2,1)</f>
        <v>0</v>
      </c>
      <c r="K4" s="219">
        <f t="shared" ref="K4:K8" si="0">IF(AND(J4&gt;0,L13&gt;0),IF(IF(J4&gt;100000,100000,J4)+IF(L13&gt;100000,100000,L13)&gt;100000,IF(J4&gt;100000,100000,J4)+IF(L13&gt;100000,100000,L13)-100000,J4),0)</f>
        <v>0</v>
      </c>
      <c r="L4" s="219">
        <f t="shared" ref="L4:L8" si="1">J4-K4</f>
        <v>0</v>
      </c>
      <c r="M4" s="221">
        <f t="shared" ref="M4:M8" si="2">IF(I4=TRUE,L4*0.3,L4)</f>
        <v>0</v>
      </c>
      <c r="N4" s="217" t="str">
        <f>IF(G4="","",IF(G3="","加入者１","、加入者１"))</f>
        <v/>
      </c>
      <c r="O4" s="217"/>
      <c r="P4" s="217"/>
    </row>
    <row r="5" spans="1:16" x14ac:dyDescent="0.15">
      <c r="A5" s="217"/>
      <c r="B5" s="220" t="s">
        <v>51</v>
      </c>
      <c r="C5" s="219">
        <v>27900</v>
      </c>
      <c r="D5" s="219">
        <v>11000</v>
      </c>
      <c r="E5" s="219">
        <v>12000</v>
      </c>
      <c r="F5" s="217"/>
      <c r="G5" s="219" t="str">
        <f>IF(G14=1,IF(L5&gt;0,IF(I5=TRUE,"世帯員2 ",""),""),"")</f>
        <v/>
      </c>
      <c r="H5" s="241" t="b">
        <v>0</v>
      </c>
      <c r="I5" s="219" t="b">
        <f>AND(G14=1,H5=TRUE,F14&gt;1,F14&lt;5)</f>
        <v>0</v>
      </c>
      <c r="J5" s="219">
        <f>VLOOKUP(試算シート!S27,'所得計算（非公開）'!B29:C39,2,1)</f>
        <v>0</v>
      </c>
      <c r="K5" s="219">
        <f t="shared" si="0"/>
        <v>0</v>
      </c>
      <c r="L5" s="219">
        <f t="shared" si="1"/>
        <v>0</v>
      </c>
      <c r="M5" s="221">
        <f t="shared" si="2"/>
        <v>0</v>
      </c>
      <c r="N5" s="217" t="str">
        <f>IF(G5="","",IF(AND(G3="",G4=""),"加入者２","、加入者２"))</f>
        <v/>
      </c>
      <c r="O5" s="217"/>
      <c r="P5" s="217"/>
    </row>
    <row r="6" spans="1:16" x14ac:dyDescent="0.15">
      <c r="A6" s="217"/>
      <c r="B6" s="220" t="s">
        <v>50</v>
      </c>
      <c r="C6" s="219">
        <v>20700</v>
      </c>
      <c r="D6" s="219">
        <v>7900</v>
      </c>
      <c r="E6" s="219">
        <v>6100</v>
      </c>
      <c r="F6" s="217"/>
      <c r="G6" s="219" t="str">
        <f>IF(G15=1,IF(L6&gt;0,IF(I6=TRUE,"世帯員3 ",""),""),"")</f>
        <v/>
      </c>
      <c r="H6" s="241" t="b">
        <v>0</v>
      </c>
      <c r="I6" s="219" t="b">
        <f>AND(G15=1,H6=TRUE,F15&gt;1,F15&lt;5)</f>
        <v>0</v>
      </c>
      <c r="J6" s="219">
        <f>VLOOKUP(試算シート!S28,'所得計算（非公開）'!B42:C52,2,1)</f>
        <v>0</v>
      </c>
      <c r="K6" s="219">
        <f t="shared" si="0"/>
        <v>0</v>
      </c>
      <c r="L6" s="219">
        <f t="shared" si="1"/>
        <v>0</v>
      </c>
      <c r="M6" s="221">
        <f t="shared" si="2"/>
        <v>0</v>
      </c>
      <c r="N6" s="217" t="str">
        <f>IF(G6="","",IF(AND(G3="",G4="",G5=""),"加入者３","、加入者３"))</f>
        <v/>
      </c>
      <c r="O6" s="217"/>
      <c r="P6" s="217"/>
    </row>
    <row r="7" spans="1:16" x14ac:dyDescent="0.15">
      <c r="A7" s="217"/>
      <c r="B7" s="218" t="s">
        <v>4</v>
      </c>
      <c r="C7" s="219">
        <v>650000</v>
      </c>
      <c r="D7" s="219">
        <v>220000</v>
      </c>
      <c r="E7" s="219">
        <v>170000</v>
      </c>
      <c r="F7" s="217"/>
      <c r="G7" s="219" t="str">
        <f>IF(G16=1,IF(L7&gt;0,IF(I7=TRUE,"世帯員4 ",""),""),"")</f>
        <v/>
      </c>
      <c r="H7" s="241" t="b">
        <v>0</v>
      </c>
      <c r="I7" s="219" t="b">
        <f>AND(G16=1,H7=TRUE,F16&gt;1,F16&lt;5)</f>
        <v>0</v>
      </c>
      <c r="J7" s="219">
        <f>VLOOKUP(試算シート!S29,'所得計算（非公開）'!B55:C65,2,1)</f>
        <v>0</v>
      </c>
      <c r="K7" s="219">
        <f t="shared" si="0"/>
        <v>0</v>
      </c>
      <c r="L7" s="219">
        <f t="shared" si="1"/>
        <v>0</v>
      </c>
      <c r="M7" s="221">
        <f t="shared" si="2"/>
        <v>0</v>
      </c>
      <c r="N7" s="217" t="str">
        <f>IF(G7="","",IF(AND(G3="",G4="",G5="",G6=""),"加入者４","、加入者４"))</f>
        <v/>
      </c>
      <c r="O7" s="217"/>
      <c r="P7" s="217"/>
    </row>
    <row r="8" spans="1:16" x14ac:dyDescent="0.15">
      <c r="A8" s="217"/>
      <c r="B8" s="218" t="s">
        <v>12</v>
      </c>
      <c r="C8" s="219">
        <v>430000</v>
      </c>
      <c r="D8" s="217"/>
      <c r="E8" s="217"/>
      <c r="F8" s="217"/>
      <c r="G8" s="219" t="str">
        <f>IF(G17=1,IF(L8&gt;0,IF(I8=TRUE,"世帯員5 ",""),""),"")</f>
        <v/>
      </c>
      <c r="H8" s="241" t="b">
        <v>0</v>
      </c>
      <c r="I8" s="219" t="b">
        <f>AND(G17=1,H8=TRUE,F17&gt;1,F17&lt;5)</f>
        <v>0</v>
      </c>
      <c r="J8" s="219">
        <f>VLOOKUP(試算シート!S30,'所得計算（非公開）'!B68:C78,2,1)</f>
        <v>0</v>
      </c>
      <c r="K8" s="219">
        <f t="shared" si="0"/>
        <v>0</v>
      </c>
      <c r="L8" s="219">
        <f t="shared" si="1"/>
        <v>0</v>
      </c>
      <c r="M8" s="221">
        <f t="shared" si="2"/>
        <v>0</v>
      </c>
      <c r="N8" s="217" t="str">
        <f>IF(G8="","",IF(AND(G3="",G4="",G5="",G6="",G7=""),"加入者５","、加入者５"))</f>
        <v/>
      </c>
      <c r="O8" s="217"/>
      <c r="P8" s="217"/>
    </row>
    <row r="9" spans="1:16" x14ac:dyDescent="0.15">
      <c r="A9" s="217"/>
      <c r="B9" s="217"/>
      <c r="C9" s="217"/>
      <c r="D9" s="217"/>
      <c r="E9" s="217"/>
      <c r="F9" s="217"/>
      <c r="G9" s="217" t="str">
        <f>IF(SUM(J3:J8)=0,"",IF(ISNA(VLOOKUP(TRUE,I3:I8,1,FALSE)),"",G3&amp;N4&amp;N5&amp;N6&amp;N7&amp;N8&amp;"は給与所得を１００分の３０とみなして保険料を算出しています。"))</f>
        <v/>
      </c>
      <c r="H9" s="217"/>
      <c r="I9" s="217"/>
      <c r="J9" s="217"/>
      <c r="K9" s="217"/>
      <c r="L9" s="217"/>
      <c r="M9" s="217"/>
      <c r="N9" s="217"/>
      <c r="O9" s="217"/>
      <c r="P9" s="217"/>
    </row>
    <row r="10" spans="1:16" x14ac:dyDescent="0.15">
      <c r="A10" s="217"/>
      <c r="B10" s="217"/>
      <c r="C10" s="217"/>
      <c r="D10" s="217"/>
      <c r="E10" s="217"/>
      <c r="F10" s="217"/>
      <c r="G10" s="217"/>
      <c r="H10" s="217"/>
      <c r="I10" s="217"/>
      <c r="J10" s="217"/>
      <c r="K10" s="217"/>
      <c r="L10" s="217"/>
      <c r="M10" s="217"/>
      <c r="N10" s="217"/>
      <c r="O10" s="217"/>
      <c r="P10" s="217"/>
    </row>
    <row r="11" spans="1:16" x14ac:dyDescent="0.15">
      <c r="A11" s="217"/>
      <c r="B11" s="222"/>
      <c r="C11" s="381" t="s">
        <v>52</v>
      </c>
      <c r="D11" s="382"/>
      <c r="E11" s="381" t="s">
        <v>41</v>
      </c>
      <c r="F11" s="382"/>
      <c r="G11" s="218" t="s">
        <v>6</v>
      </c>
      <c r="H11" s="218" t="s">
        <v>7</v>
      </c>
      <c r="I11" s="218" t="s">
        <v>27</v>
      </c>
      <c r="J11" s="218" t="s">
        <v>53</v>
      </c>
      <c r="K11" s="218" t="s">
        <v>31</v>
      </c>
      <c r="L11" s="218" t="s">
        <v>30</v>
      </c>
      <c r="M11" s="218" t="s">
        <v>28</v>
      </c>
      <c r="N11" s="218" t="s">
        <v>1</v>
      </c>
      <c r="O11" s="218" t="s">
        <v>54</v>
      </c>
      <c r="P11" s="218" t="s">
        <v>55</v>
      </c>
    </row>
    <row r="12" spans="1:16" x14ac:dyDescent="0.15">
      <c r="A12" s="217"/>
      <c r="B12" s="218" t="s">
        <v>0</v>
      </c>
      <c r="C12" s="223">
        <f>試算シート!G25</f>
        <v>0</v>
      </c>
      <c r="D12" s="221">
        <f>IF(C12='区分（非公開）'!B3,'区分（非公開）'!C3,IF(C12='区分（非公開）'!B4,'区分（非公開）'!C4,0))</f>
        <v>0</v>
      </c>
      <c r="E12" s="221">
        <f>試算シート!K25</f>
        <v>0</v>
      </c>
      <c r="F12" s="221">
        <f>IF(E12='区分（非公開）'!B7,'区分（非公開）'!C7,IF(E12='区分（非公開）'!B8,'区分（非公開）'!C8,IF(E12='区分（非公開）'!B9,'区分（非公開）'!C9,IF(E12='区分（非公開）'!B10,'区分（非公開）'!C10,IF(E12='区分（非公開）'!B11,'区分（非公開）'!C11,0)))))</f>
        <v>0</v>
      </c>
      <c r="G12" s="221">
        <f>IF(OR(D12=0,D12=2,F12=0,F12=5),0,1)</f>
        <v>0</v>
      </c>
      <c r="H12" s="221">
        <f>IF(OR(D12=0,D12=2),0,IF(F12=3,1,0))</f>
        <v>0</v>
      </c>
      <c r="I12" s="221">
        <f>試算シート!S25</f>
        <v>0</v>
      </c>
      <c r="J12" s="221">
        <f>M3</f>
        <v>0</v>
      </c>
      <c r="K12" s="221">
        <f>試算シート!AA25</f>
        <v>0</v>
      </c>
      <c r="L12" s="221">
        <f>IF(F12&gt;3,VLOOKUP(試算シート!AA25,'所得計算（非公開）'!G4:H8,2,1),VLOOKUP(試算シート!AA25,'所得計算（非公開）'!E4:F8,2,1))</f>
        <v>0</v>
      </c>
      <c r="M12" s="221">
        <f>試算シート!AI25</f>
        <v>0</v>
      </c>
      <c r="N12" s="221">
        <f>SUM(J12,L12,M12)</f>
        <v>0</v>
      </c>
      <c r="O12" s="221">
        <f>IF(AND(F12&lt;4,J12=0,L12=0),J12+L12+M12,IF(AND(F12&lt;4,J12=0,L12&gt;0,L12&lt;100000),J12+L12+M12,IF(AND(F12&lt;4,J12=0,L12&gt;=100000),J12+L12+M12,IF(AND(F12&lt;4,J12&gt;0,J12&lt;100000,L12=0),J12+L12+M12,IF(AND(F12&lt;4,J12&gt;=100000,L12=0),J12+L12+M12,IF(AND(F12&lt;4,J12&gt;0,J12&lt;100000,L12&gt;0,L12&lt;100000),J12+L12+M12,IF(AND(F12&lt;4,J12&gt;0,J12&lt;100000,L12&gt;=100000),J12+L12+M12,IF(AND(F12&lt;4,J12&gt;=100000,L12&gt;0,L12&lt;100000),J12+L12+M12,IF(AND(F12&lt;4,J12&gt;=100000,L12&gt;=100000),J12+L12+M12,IF(AND(F12&gt;3,J12=0,L12=0),J12+L12+M12,IF(AND(F12&gt;3,J12=0,L12&gt;0,L12&lt;100000),J12+L12-MIN(MAX(L12-100000,0),150000)+M12,IF(AND(F12&gt;3,J12=0,L12&gt;=100000,L12&lt;150000),J12+L12-MIN(MAX(L12-100000,0),150000)+M12,IF(AND(F12&gt;3,J12=0,L12&gt;=150000),J12+L12-150000+M12,IF(AND(F12&gt;3,J12&gt;0,L12=0),J12+L12+M12,IF(AND(F12&gt;3,J12&gt;0,J12&lt;100000,L12&gt;0,L12&lt;100000),J12+L12-MIN(MAX(L12-100000,0),150000)+M12,IF(AND(F12&gt;3,J12&gt;0,J12&lt;100000,L12&gt;=100000,L12&lt;150000),J12+L12-MIN(MAX(L12-100000,0),150000)+M12,IF(AND(F12&gt;3,J12&gt;0,J12&lt;100000,L12&gt;=150000),J12+L12-150000+M12,IF(AND(F12&gt;3,J12&gt;=100000,L12&gt;0,L12&lt;100000),J12+L12-MIN(MAX(L12-100000,0),150000)+M12,IF(AND(F12&gt;3,J12&gt;=100000,L12&gt;=100000,L12&lt;150000),J12+L12-MIN(MAX(L12-100000,0),150000)+M12,IF(AND(F12&gt;3,J12&gt;=100000,L12&gt;=150000),J12+L12-150000+M12))))))))))))))))))))</f>
        <v>0</v>
      </c>
      <c r="P12" s="221">
        <f>IF(OR(J3&gt;0,L12&gt;0,0),1,0)</f>
        <v>0</v>
      </c>
    </row>
    <row r="13" spans="1:16" x14ac:dyDescent="0.15">
      <c r="A13" s="217"/>
      <c r="B13" s="218" t="s">
        <v>138</v>
      </c>
      <c r="C13" s="224"/>
      <c r="D13" s="225"/>
      <c r="E13" s="221">
        <f>試算シート!K26</f>
        <v>0</v>
      </c>
      <c r="F13" s="221">
        <f>IF(E13='区分（非公開）'!E7,'区分（非公開）'!F7,IF(E13='区分（非公開）'!E8,'区分（非公開）'!F8,IF(E13='区分（非公開）'!E9,'区分（非公開）'!F9,IF(E13='区分（非公開）'!E10,'区分（非公開）'!F10,IF(E13='区分（非公開）'!E11,'区分（非公開）'!F11,0)))))</f>
        <v>0</v>
      </c>
      <c r="G13" s="221">
        <f>IF(OR(F13=0,F13=1),0,1)</f>
        <v>0</v>
      </c>
      <c r="H13" s="221">
        <f>IF(F13=4,1,0)</f>
        <v>0</v>
      </c>
      <c r="I13" s="221">
        <f>試算シート!S26</f>
        <v>0</v>
      </c>
      <c r="J13" s="221">
        <f t="shared" ref="J13:J17" si="3">M4</f>
        <v>0</v>
      </c>
      <c r="K13" s="221">
        <f>試算シート!AA26</f>
        <v>0</v>
      </c>
      <c r="L13" s="221">
        <f>IF(G13=0,0,IF(F13=5,VLOOKUP(試算シート!AA26,'所得計算（非公開）'!G17:H21,2,1),VLOOKUP(試算シート!AA26,'所得計算（非公開）'!E17:F21,2,1)))</f>
        <v>0</v>
      </c>
      <c r="M13" s="221">
        <f>試算シート!AI26</f>
        <v>0</v>
      </c>
      <c r="N13" s="221">
        <f t="shared" ref="N13:N17" si="4">SUM(J13,L13,M13)</f>
        <v>0</v>
      </c>
      <c r="O13" s="221">
        <f t="shared" ref="O13:O17" si="5">IF(AND(F13&lt;4,J13=0,L13=0),J13+L13+M13,IF(AND(F13&lt;4,J13=0,L13&gt;0,L13&lt;100000),J13+L13+M13,IF(AND(F13&lt;4,J13=0,L13&gt;=100000),J13+L13+M13,IF(AND(F13&lt;4,J13&gt;0,J13&lt;100000,L13=0),J13+L13+M13,IF(AND(F13&lt;4,J13&gt;=100000,L13=0),J13+L13+M13,IF(AND(F13&lt;4,J13&gt;0,J13&lt;100000,L13&gt;0,L13&lt;100000),J13+L13+M13,IF(AND(F13&lt;4,J13&gt;0,J13&lt;100000,L13&gt;=100000),J13+L13+M13,IF(AND(F13&lt;4,J13&gt;=100000,L13&gt;0,L13&lt;100000),J13+L13+M13,IF(AND(F13&lt;4,J13&gt;=100000,L13&gt;=100000),J13+L13+M13,IF(AND(F13&gt;3,J13=0,L13=0),J13+L13+M13,IF(AND(F13&gt;3,J13=0,L13&gt;0,L13&lt;100000),J13+L13-MIN(MAX(L13-100000,0),150000)+M13,IF(AND(F13&gt;3,J13=0,L13&gt;=100000,L13&lt;150000),J13+L13-MIN(MAX(L13-100000,0),150000)+M13,IF(AND(F13&gt;3,J13=0,L13&gt;=150000),J13+L13-150000+M13,IF(AND(F13&gt;3,J13&gt;0,L13=0),J13+L13+M13,IF(AND(F13&gt;3,J13&gt;0,J13&lt;100000,L13&gt;0,L13&lt;100000),J13+L13-MIN(MAX(L13-100000,0),150000)+M13,IF(AND(F13&gt;3,J13&gt;0,J13&lt;100000,L13&gt;=100000,L13&lt;150000),J13+L13-MIN(MAX(L13-100000,0),150000)+M13,IF(AND(F13&gt;3,J13&gt;0,J13&lt;100000,L13&gt;=150000),J13+L13-150000+M13,IF(AND(F13&gt;3,J13&gt;=100000,L13&gt;0,L13&lt;100000),J13+L13-MIN(MAX(L13-100000,0),150000)+M13,IF(AND(F13&gt;3,J13&gt;=100000,L13&gt;=100000,L13&lt;150000),J13+L13-MIN(MAX(L13-100000,0),150000)+M13,IF(AND(F13&gt;3,J13&gt;=100000,L13&gt;=150000),J13+L13-150000+M13))))))))))))))))))))</f>
        <v>0</v>
      </c>
      <c r="P13" s="221">
        <f t="shared" ref="P13:P17" si="6">IF(OR(J13&gt;0,L13&gt;0,0),1,0)</f>
        <v>0</v>
      </c>
    </row>
    <row r="14" spans="1:16" x14ac:dyDescent="0.15">
      <c r="A14" s="217"/>
      <c r="B14" s="218" t="s">
        <v>139</v>
      </c>
      <c r="C14" s="224"/>
      <c r="D14" s="225"/>
      <c r="E14" s="221">
        <f>試算シート!K27</f>
        <v>0</v>
      </c>
      <c r="F14" s="221">
        <f>IF(E14='区分（非公開）'!E7,'区分（非公開）'!F7,IF(E14='区分（非公開）'!E8,'区分（非公開）'!F8,IF(E14='区分（非公開）'!E9,'区分（非公開）'!F9,IF(E14='区分（非公開）'!E10,'区分（非公開）'!F10,IF(E14='区分（非公開）'!E11,'区分（非公開）'!F11,0)))))</f>
        <v>0</v>
      </c>
      <c r="G14" s="221">
        <f>IF(OR(F14=0,F14=1),0,1)</f>
        <v>0</v>
      </c>
      <c r="H14" s="221">
        <f t="shared" ref="H14:H17" si="7">IF(F14=4,1,0)</f>
        <v>0</v>
      </c>
      <c r="I14" s="221">
        <f>試算シート!S27</f>
        <v>0</v>
      </c>
      <c r="J14" s="221">
        <f t="shared" si="3"/>
        <v>0</v>
      </c>
      <c r="K14" s="221">
        <f>試算シート!AA27</f>
        <v>0</v>
      </c>
      <c r="L14" s="221">
        <f>IF(G14=0,0,IF(F14=5,VLOOKUP(試算シート!AA27,'所得計算（非公開）'!G30:H34,2,1),VLOOKUP(試算シート!AA27,'所得計算（非公開）'!E30:F34,2,1)))</f>
        <v>0</v>
      </c>
      <c r="M14" s="221">
        <f>試算シート!AI27</f>
        <v>0</v>
      </c>
      <c r="N14" s="221">
        <f t="shared" si="4"/>
        <v>0</v>
      </c>
      <c r="O14" s="221">
        <f t="shared" si="5"/>
        <v>0</v>
      </c>
      <c r="P14" s="221">
        <f t="shared" si="6"/>
        <v>0</v>
      </c>
    </row>
    <row r="15" spans="1:16" x14ac:dyDescent="0.15">
      <c r="A15" s="217"/>
      <c r="B15" s="218" t="s">
        <v>140</v>
      </c>
      <c r="C15" s="224"/>
      <c r="D15" s="225"/>
      <c r="E15" s="221">
        <f>試算シート!K28</f>
        <v>0</v>
      </c>
      <c r="F15" s="221">
        <f>IF(E15='区分（非公開）'!E7,'区分（非公開）'!F7,IF(E15='区分（非公開）'!E8,'区分（非公開）'!F8,IF(E15='区分（非公開）'!E9,'区分（非公開）'!F9,IF(E15='区分（非公開）'!E10,'区分（非公開）'!F10,IF(E15='区分（非公開）'!E11,'区分（非公開）'!F11,0)))))</f>
        <v>0</v>
      </c>
      <c r="G15" s="221">
        <f t="shared" ref="G15:G17" si="8">IF(OR(F15=0,F15=1),0,1)</f>
        <v>0</v>
      </c>
      <c r="H15" s="221">
        <f t="shared" si="7"/>
        <v>0</v>
      </c>
      <c r="I15" s="221">
        <f>試算シート!S28</f>
        <v>0</v>
      </c>
      <c r="J15" s="221">
        <f t="shared" si="3"/>
        <v>0</v>
      </c>
      <c r="K15" s="221">
        <f>試算シート!AA28</f>
        <v>0</v>
      </c>
      <c r="L15" s="221">
        <f>IF(G15=0,0,IF(F15=5,VLOOKUP(試算シート!AA28,'所得計算（非公開）'!G43:H47,2,1),VLOOKUP(試算シート!AA28,'所得計算（非公開）'!E43:F47,2,1)))</f>
        <v>0</v>
      </c>
      <c r="M15" s="221">
        <f>試算シート!AI28</f>
        <v>0</v>
      </c>
      <c r="N15" s="221">
        <f t="shared" si="4"/>
        <v>0</v>
      </c>
      <c r="O15" s="221">
        <f t="shared" si="5"/>
        <v>0</v>
      </c>
      <c r="P15" s="221">
        <f t="shared" si="6"/>
        <v>0</v>
      </c>
    </row>
    <row r="16" spans="1:16" x14ac:dyDescent="0.15">
      <c r="A16" s="217"/>
      <c r="B16" s="218" t="s">
        <v>141</v>
      </c>
      <c r="C16" s="224"/>
      <c r="D16" s="225"/>
      <c r="E16" s="221">
        <f>試算シート!K29</f>
        <v>0</v>
      </c>
      <c r="F16" s="221">
        <f>IF(E16='区分（非公開）'!E7,'区分（非公開）'!F7,IF(E16='区分（非公開）'!E8,'区分（非公開）'!F8,IF(E16='区分（非公開）'!E9,'区分（非公開）'!F9,IF(E16='区分（非公開）'!E10,'区分（非公開）'!F10,IF(E16='区分（非公開）'!E11,'区分（非公開）'!F11,0)))))</f>
        <v>0</v>
      </c>
      <c r="G16" s="221">
        <f t="shared" si="8"/>
        <v>0</v>
      </c>
      <c r="H16" s="221">
        <f t="shared" si="7"/>
        <v>0</v>
      </c>
      <c r="I16" s="221">
        <f>試算シート!S29</f>
        <v>0</v>
      </c>
      <c r="J16" s="221">
        <f t="shared" si="3"/>
        <v>0</v>
      </c>
      <c r="K16" s="221">
        <f>試算シート!AA29</f>
        <v>0</v>
      </c>
      <c r="L16" s="221">
        <f>IF(G16=0,0,IF(F16=5,VLOOKUP(試算シート!AA29,'所得計算（非公開）'!G56:H60,2,1),VLOOKUP(試算シート!AA29,'所得計算（非公開）'!E56:F60,2,1)))</f>
        <v>0</v>
      </c>
      <c r="M16" s="221">
        <f>試算シート!AI29</f>
        <v>0</v>
      </c>
      <c r="N16" s="221">
        <f t="shared" si="4"/>
        <v>0</v>
      </c>
      <c r="O16" s="221">
        <f t="shared" si="5"/>
        <v>0</v>
      </c>
      <c r="P16" s="221">
        <f t="shared" si="6"/>
        <v>0</v>
      </c>
    </row>
    <row r="17" spans="1:16" x14ac:dyDescent="0.15">
      <c r="A17" s="217"/>
      <c r="B17" s="218" t="s">
        <v>142</v>
      </c>
      <c r="C17" s="224"/>
      <c r="D17" s="225"/>
      <c r="E17" s="221">
        <f>試算シート!K30</f>
        <v>0</v>
      </c>
      <c r="F17" s="221">
        <f>IF(E17='区分（非公開）'!E7,'区分（非公開）'!F7,IF(E17='区分（非公開）'!E8,'区分（非公開）'!F8,IF(E17='区分（非公開）'!E9,'区分（非公開）'!F9,IF(E17='区分（非公開）'!E10,'区分（非公開）'!F10,IF(E17='区分（非公開）'!E11,'区分（非公開）'!F11,0)))))</f>
        <v>0</v>
      </c>
      <c r="G17" s="221">
        <f t="shared" si="8"/>
        <v>0</v>
      </c>
      <c r="H17" s="221">
        <f t="shared" si="7"/>
        <v>0</v>
      </c>
      <c r="I17" s="221">
        <f>試算シート!S30</f>
        <v>0</v>
      </c>
      <c r="J17" s="221">
        <f t="shared" si="3"/>
        <v>0</v>
      </c>
      <c r="K17" s="221">
        <f>試算シート!AA30</f>
        <v>0</v>
      </c>
      <c r="L17" s="221">
        <f>IF(G17=0,0,IF(F17=5,VLOOKUP(試算シート!AA30,'所得計算（非公開）'!G69:H73,2,1),VLOOKUP(試算シート!AA30,'所得計算（非公開）'!E69:F73,2,1)))</f>
        <v>0</v>
      </c>
      <c r="M17" s="221">
        <f>試算シート!AI30</f>
        <v>0</v>
      </c>
      <c r="N17" s="221">
        <f t="shared" si="4"/>
        <v>0</v>
      </c>
      <c r="O17" s="221">
        <f t="shared" si="5"/>
        <v>0</v>
      </c>
      <c r="P17" s="221">
        <f t="shared" si="6"/>
        <v>0</v>
      </c>
    </row>
    <row r="18" spans="1:16" x14ac:dyDescent="0.15">
      <c r="A18" s="217"/>
      <c r="B18" s="226" t="s">
        <v>78</v>
      </c>
      <c r="C18" s="226"/>
      <c r="D18" s="227"/>
      <c r="E18" s="227"/>
      <c r="F18" s="227"/>
      <c r="G18" s="227">
        <f t="shared" ref="G18:N18" si="9">SUM(G12:G17)</f>
        <v>0</v>
      </c>
      <c r="H18" s="227">
        <f t="shared" si="9"/>
        <v>0</v>
      </c>
      <c r="I18" s="227">
        <f t="shared" si="9"/>
        <v>0</v>
      </c>
      <c r="J18" s="227">
        <f>SUM(J12:J17)</f>
        <v>0</v>
      </c>
      <c r="K18" s="227">
        <f t="shared" si="9"/>
        <v>0</v>
      </c>
      <c r="L18" s="227">
        <f t="shared" si="9"/>
        <v>0</v>
      </c>
      <c r="M18" s="227">
        <f t="shared" si="9"/>
        <v>0</v>
      </c>
      <c r="N18" s="227">
        <f t="shared" si="9"/>
        <v>0</v>
      </c>
      <c r="O18" s="227">
        <f t="shared" ref="O18" si="10">SUM(O12:O17)</f>
        <v>0</v>
      </c>
      <c r="P18" s="227">
        <f t="shared" ref="P18" si="11">SUM(P12:P17)</f>
        <v>0</v>
      </c>
    </row>
    <row r="19" spans="1:16" x14ac:dyDescent="0.15">
      <c r="A19" s="217"/>
      <c r="B19" s="217"/>
      <c r="C19" s="217"/>
      <c r="D19" s="217"/>
      <c r="E19" s="217"/>
      <c r="F19" s="217"/>
      <c r="G19" s="217"/>
      <c r="H19" s="217"/>
      <c r="I19" s="217"/>
      <c r="J19" s="217"/>
      <c r="K19" s="217"/>
      <c r="L19" s="217"/>
      <c r="M19" s="217"/>
      <c r="N19" s="217"/>
      <c r="O19" s="217"/>
      <c r="P19" s="217"/>
    </row>
    <row r="20" spans="1:16" x14ac:dyDescent="0.15">
      <c r="A20" s="217"/>
      <c r="B20" s="217"/>
      <c r="C20" s="217"/>
      <c r="D20" s="217"/>
      <c r="E20" s="217"/>
      <c r="F20" s="217"/>
      <c r="G20" s="217"/>
      <c r="H20" s="217"/>
      <c r="I20" s="217"/>
      <c r="J20" s="217"/>
      <c r="K20" s="217"/>
      <c r="L20" s="217"/>
      <c r="M20" s="217"/>
      <c r="N20" s="217"/>
      <c r="O20" s="217"/>
      <c r="P20" s="217"/>
    </row>
    <row r="21" spans="1:16" x14ac:dyDescent="0.15">
      <c r="A21" s="217"/>
      <c r="B21" s="222"/>
      <c r="C21" s="218" t="s">
        <v>9</v>
      </c>
      <c r="D21" s="218" t="s">
        <v>10</v>
      </c>
      <c r="E21" s="218" t="s">
        <v>11</v>
      </c>
      <c r="F21" s="218" t="s">
        <v>56</v>
      </c>
      <c r="G21" s="218" t="s">
        <v>57</v>
      </c>
      <c r="H21" s="218" t="s">
        <v>58</v>
      </c>
      <c r="I21" s="218" t="s">
        <v>59</v>
      </c>
      <c r="J21" s="218" t="s">
        <v>60</v>
      </c>
      <c r="K21" s="218" t="s">
        <v>61</v>
      </c>
      <c r="L21" s="218" t="s">
        <v>62</v>
      </c>
      <c r="M21" s="218" t="s">
        <v>63</v>
      </c>
      <c r="N21" s="218" t="s">
        <v>64</v>
      </c>
      <c r="O21" s="218" t="s">
        <v>36</v>
      </c>
      <c r="P21" s="217"/>
    </row>
    <row r="22" spans="1:16" x14ac:dyDescent="0.15">
      <c r="A22" s="217"/>
      <c r="B22" s="218" t="s">
        <v>0</v>
      </c>
      <c r="C22" s="221">
        <f t="shared" ref="C22:C27" si="12">IF(G12=0,0,IF(N12-430000&lt;=0,0,(N12-430000)*$C$4))</f>
        <v>0</v>
      </c>
      <c r="D22" s="221">
        <f t="shared" ref="D22:D27" si="13">IF(G12=0,0,IF(N12-430000&lt;=0,0,(N12-430000)*$D$4))</f>
        <v>0</v>
      </c>
      <c r="E22" s="221">
        <f t="shared" ref="E22:E27" si="14">IF(H12=0,0,IF(N12-430000&lt;=0,0,(N12-430000)*$E$4))</f>
        <v>0</v>
      </c>
      <c r="F22" s="221">
        <f>IF(G12=0,0,ROUNDUP(C5*VLOOKUP("○",G33:H36,2,FALSE),0))</f>
        <v>0</v>
      </c>
      <c r="G22" s="221">
        <f>IF(G12=0,0,ROUNDUP(D5*VLOOKUP("○",G33:I36,2,FALSE),0))</f>
        <v>0</v>
      </c>
      <c r="H22" s="221">
        <f>IF(H12=0,0,ROUNDUP(E5*VLOOKUP("○",G33:I36,2,FALSE),0))</f>
        <v>0</v>
      </c>
      <c r="I22" s="221"/>
      <c r="J22" s="221"/>
      <c r="K22" s="221"/>
      <c r="L22" s="221" t="str">
        <f>IF(F12=1,1,"")</f>
        <v/>
      </c>
      <c r="M22" s="221" t="str">
        <f t="shared" ref="M22:M27" si="15">IF(L22="","",IF($C$5=F22,ROUNDUP($C$5,0)*0.5,ROUNDUP(($C$5-F22)*0.5,0)))</f>
        <v/>
      </c>
      <c r="N22" s="221" t="str">
        <f>IF(L22="","",IF($D$5=G22,ROUNDUP($D$5,0)*0.5,ROUNDUP(($D$5-G22)*0.5,0)))</f>
        <v/>
      </c>
      <c r="O22" s="221">
        <f>SUM(M22:N22)</f>
        <v>0</v>
      </c>
      <c r="P22" s="217"/>
    </row>
    <row r="23" spans="1:16" x14ac:dyDescent="0.15">
      <c r="A23" s="217"/>
      <c r="B23" s="218" t="s">
        <v>138</v>
      </c>
      <c r="C23" s="221">
        <f t="shared" si="12"/>
        <v>0</v>
      </c>
      <c r="D23" s="221">
        <f t="shared" si="13"/>
        <v>0</v>
      </c>
      <c r="E23" s="221">
        <f t="shared" si="14"/>
        <v>0</v>
      </c>
      <c r="F23" s="221">
        <f>IF(G13=0,0,ROUNDUP(C5*VLOOKUP("○",G33:H36,2,FALSE),0))</f>
        <v>0</v>
      </c>
      <c r="G23" s="221">
        <f>IF(G13=0,0,ROUNDUP(D5*VLOOKUP("○",G33:I36,2,FALSE),0))</f>
        <v>0</v>
      </c>
      <c r="H23" s="221">
        <f>IF(H13=0,0,ROUNDUP(E5*VLOOKUP("○",G33:I36,2,FALSE),0))</f>
        <v>0</v>
      </c>
      <c r="I23" s="221"/>
      <c r="J23" s="221"/>
      <c r="K23" s="221"/>
      <c r="L23" s="221" t="str">
        <f>IF(F13=2,1,"")</f>
        <v/>
      </c>
      <c r="M23" s="221" t="str">
        <f t="shared" si="15"/>
        <v/>
      </c>
      <c r="N23" s="221" t="str">
        <f>IF(L23="","",IF($D$5=G23,ROUNDUP($D$5,0)*0.5,ROUNDUP(($D$5-G23)*0.5,0)))</f>
        <v/>
      </c>
      <c r="O23" s="221">
        <f t="shared" ref="O23:O27" si="16">SUM(M23:N23)</f>
        <v>0</v>
      </c>
      <c r="P23" s="217"/>
    </row>
    <row r="24" spans="1:16" x14ac:dyDescent="0.15">
      <c r="A24" s="217"/>
      <c r="B24" s="218" t="s">
        <v>134</v>
      </c>
      <c r="C24" s="221">
        <f t="shared" si="12"/>
        <v>0</v>
      </c>
      <c r="D24" s="221">
        <f t="shared" si="13"/>
        <v>0</v>
      </c>
      <c r="E24" s="221">
        <f t="shared" si="14"/>
        <v>0</v>
      </c>
      <c r="F24" s="221">
        <f>IF(G14=0,0,ROUNDUP(C5*VLOOKUP("○",G33:H36,2,FALSE),0))</f>
        <v>0</v>
      </c>
      <c r="G24" s="221">
        <f>IF(G14=0,0,ROUNDUP(D5*VLOOKUP("○",G33:I36,2,FALSE),0))</f>
        <v>0</v>
      </c>
      <c r="H24" s="221">
        <f>IF(H14=0,0,ROUNDUP(E5*VLOOKUP("○",G34:I37,2,FALSE),0))</f>
        <v>0</v>
      </c>
      <c r="I24" s="221"/>
      <c r="J24" s="221"/>
      <c r="K24" s="221"/>
      <c r="L24" s="221" t="str">
        <f>IF(F14=2,1,"")</f>
        <v/>
      </c>
      <c r="M24" s="221" t="str">
        <f t="shared" si="15"/>
        <v/>
      </c>
      <c r="N24" s="221" t="str">
        <f>IF(L24="","",IF($D$5=G24,ROUNDUP($D$5,0)*0.5,ROUNDUP(($D$5-G24)*0.5,0)))</f>
        <v/>
      </c>
      <c r="O24" s="221">
        <f t="shared" si="16"/>
        <v>0</v>
      </c>
      <c r="P24" s="217"/>
    </row>
    <row r="25" spans="1:16" x14ac:dyDescent="0.15">
      <c r="A25" s="217"/>
      <c r="B25" s="218" t="s">
        <v>143</v>
      </c>
      <c r="C25" s="221">
        <f t="shared" si="12"/>
        <v>0</v>
      </c>
      <c r="D25" s="221">
        <f t="shared" si="13"/>
        <v>0</v>
      </c>
      <c r="E25" s="221">
        <f t="shared" si="14"/>
        <v>0</v>
      </c>
      <c r="F25" s="221">
        <f>IF(G15=0,0,ROUNDUP(C5*VLOOKUP("○",G33:H36,2,FALSE),0))</f>
        <v>0</v>
      </c>
      <c r="G25" s="221">
        <f>IF(G15=0,0,ROUNDUP(D5*VLOOKUP("○",G33:I36,2,FALSE),0))</f>
        <v>0</v>
      </c>
      <c r="H25" s="221">
        <f>IF(H15=0,0,ROUNDUP(E5*VLOOKUP("○",G35:I38,2,FALSE),0))</f>
        <v>0</v>
      </c>
      <c r="I25" s="221"/>
      <c r="J25" s="221"/>
      <c r="K25" s="221"/>
      <c r="L25" s="221" t="str">
        <f>IF(F15=2,1,"")</f>
        <v/>
      </c>
      <c r="M25" s="221" t="str">
        <f t="shared" si="15"/>
        <v/>
      </c>
      <c r="N25" s="221" t="str">
        <f t="shared" ref="N25" si="17">IF(L25="","",IF($D$5=G25,ROUNDUP($D$5,0)*0.5,ROUNDUP(($D$5-G25)*0.5,0)))</f>
        <v/>
      </c>
      <c r="O25" s="221">
        <f t="shared" si="16"/>
        <v>0</v>
      </c>
      <c r="P25" s="217"/>
    </row>
    <row r="26" spans="1:16" x14ac:dyDescent="0.15">
      <c r="A26" s="217"/>
      <c r="B26" s="218" t="s">
        <v>144</v>
      </c>
      <c r="C26" s="221">
        <f t="shared" si="12"/>
        <v>0</v>
      </c>
      <c r="D26" s="221">
        <f t="shared" si="13"/>
        <v>0</v>
      </c>
      <c r="E26" s="221">
        <f t="shared" si="14"/>
        <v>0</v>
      </c>
      <c r="F26" s="221">
        <f>IF(G16=0,0,ROUNDUP(C5*VLOOKUP("○",G33:H36,2,FALSE),0))</f>
        <v>0</v>
      </c>
      <c r="G26" s="221">
        <f>IF(G16=0,0,ROUNDUP(D5*VLOOKUP("○",G33:I36,2,FALSE),0))</f>
        <v>0</v>
      </c>
      <c r="H26" s="221">
        <f>IF(H16=0,0,ROUNDUP(E5*VLOOKUP("○",G36:I39,2,FALSE),0))</f>
        <v>0</v>
      </c>
      <c r="I26" s="221"/>
      <c r="J26" s="221"/>
      <c r="K26" s="221"/>
      <c r="L26" s="221" t="str">
        <f>IF(F16=2,1,"")</f>
        <v/>
      </c>
      <c r="M26" s="221" t="str">
        <f t="shared" si="15"/>
        <v/>
      </c>
      <c r="N26" s="221" t="str">
        <f>IF(L26="","",IF($D$5=G26,ROUNDUP($D$5,0)*0.5,ROUNDUP(($D$5-G26)*0.5,0)))</f>
        <v/>
      </c>
      <c r="O26" s="221">
        <f t="shared" si="16"/>
        <v>0</v>
      </c>
      <c r="P26" s="217"/>
    </row>
    <row r="27" spans="1:16" x14ac:dyDescent="0.15">
      <c r="A27" s="217"/>
      <c r="B27" s="218" t="s">
        <v>145</v>
      </c>
      <c r="C27" s="221">
        <f t="shared" si="12"/>
        <v>0</v>
      </c>
      <c r="D27" s="221">
        <f t="shared" si="13"/>
        <v>0</v>
      </c>
      <c r="E27" s="221">
        <f t="shared" si="14"/>
        <v>0</v>
      </c>
      <c r="F27" s="221">
        <f>IF(G17=0,0,ROUNDUP(C5*VLOOKUP("○",G33:H36,2,FALSE),0))</f>
        <v>0</v>
      </c>
      <c r="G27" s="221">
        <f>IF(G17=0,0,ROUNDUP(D5*VLOOKUP("○",G33:I36,2,FALSE),0))</f>
        <v>0</v>
      </c>
      <c r="H27" s="221">
        <f>IF(H17=0,0,ROUNDUP(E5*VLOOKUP("○",G37:I40,2,FALSE),0))</f>
        <v>0</v>
      </c>
      <c r="I27" s="221"/>
      <c r="J27" s="221"/>
      <c r="K27" s="221"/>
      <c r="L27" s="221" t="str">
        <f>IF(F17=2,1,"")</f>
        <v/>
      </c>
      <c r="M27" s="221" t="str">
        <f t="shared" si="15"/>
        <v/>
      </c>
      <c r="N27" s="221" t="str">
        <f>IF(L27="","",IF($D$5=G27,ROUNDUP($D$5,0)*0.5,ROUNDUP(($D$5-G27)*0.5,0)))</f>
        <v/>
      </c>
      <c r="O27" s="221">
        <f t="shared" si="16"/>
        <v>0</v>
      </c>
      <c r="P27" s="217"/>
    </row>
    <row r="28" spans="1:16" x14ac:dyDescent="0.15">
      <c r="A28" s="217"/>
      <c r="B28" s="226" t="s">
        <v>78</v>
      </c>
      <c r="C28" s="227">
        <f>ROUNDDOWN(SUM(C22:C27),0)</f>
        <v>0</v>
      </c>
      <c r="D28" s="227">
        <f>ROUNDDOWN(SUM(D22:D27),0)</f>
        <v>0</v>
      </c>
      <c r="E28" s="227">
        <f>ROUNDDOWN(SUM(E22:E27),0)</f>
        <v>0</v>
      </c>
      <c r="F28" s="227">
        <f t="shared" ref="F28:O28" si="18">SUM(F22:F27)</f>
        <v>0</v>
      </c>
      <c r="G28" s="227">
        <f t="shared" si="18"/>
        <v>0</v>
      </c>
      <c r="H28" s="227">
        <f t="shared" si="18"/>
        <v>0</v>
      </c>
      <c r="I28" s="227" t="e">
        <f>ROUNDUP(C6*VLOOKUP("○",G33:I36,2,FALSE),0)</f>
        <v>#N/A</v>
      </c>
      <c r="J28" s="227" t="e">
        <f>ROUNDUP(D6*VLOOKUP("○",G33:I36,2,FALSE),0)</f>
        <v>#N/A</v>
      </c>
      <c r="K28" s="227">
        <f>IF(H18&gt;0,ROUNDUP(E6*VLOOKUP("○",G33:I36,2,FALSE),0),0)</f>
        <v>0</v>
      </c>
      <c r="L28" s="227">
        <f t="shared" si="18"/>
        <v>0</v>
      </c>
      <c r="M28" s="227">
        <f t="shared" si="18"/>
        <v>0</v>
      </c>
      <c r="N28" s="227">
        <f t="shared" si="18"/>
        <v>0</v>
      </c>
      <c r="O28" s="227">
        <f t="shared" si="18"/>
        <v>0</v>
      </c>
      <c r="P28" s="217"/>
    </row>
    <row r="29" spans="1:16" x14ac:dyDescent="0.15">
      <c r="A29" s="217"/>
      <c r="B29" s="217"/>
      <c r="C29" s="217"/>
      <c r="D29" s="217"/>
      <c r="E29" s="217"/>
      <c r="F29" s="217"/>
      <c r="G29" s="217"/>
      <c r="H29" s="217"/>
      <c r="I29" s="217"/>
      <c r="J29" s="217"/>
      <c r="K29" s="217"/>
      <c r="L29" s="217"/>
      <c r="M29" s="217"/>
      <c r="N29" s="217"/>
      <c r="O29" s="217"/>
      <c r="P29" s="217"/>
    </row>
    <row r="30" spans="1:16" x14ac:dyDescent="0.15">
      <c r="A30" s="217"/>
      <c r="B30" s="217"/>
      <c r="C30" s="217"/>
      <c r="D30" s="217"/>
      <c r="E30" s="217"/>
      <c r="F30" s="217"/>
      <c r="G30" s="217"/>
      <c r="H30" s="217"/>
      <c r="I30" s="217"/>
      <c r="J30" s="217"/>
      <c r="K30" s="217"/>
      <c r="L30" s="217"/>
      <c r="M30" s="217"/>
      <c r="N30" s="217"/>
      <c r="O30" s="217"/>
      <c r="P30" s="217"/>
    </row>
    <row r="31" spans="1:16" x14ac:dyDescent="0.15">
      <c r="A31" s="217"/>
      <c r="B31" s="228" t="s">
        <v>15</v>
      </c>
      <c r="C31" s="217"/>
      <c r="D31" s="217">
        <v>290000</v>
      </c>
      <c r="E31" s="217">
        <v>535000</v>
      </c>
      <c r="F31" s="217"/>
      <c r="G31" s="228" t="s">
        <v>68</v>
      </c>
      <c r="H31" s="217"/>
      <c r="I31" s="217"/>
      <c r="J31" s="217"/>
      <c r="K31" s="217"/>
      <c r="L31" s="217"/>
      <c r="M31" s="217"/>
      <c r="N31" s="217"/>
      <c r="O31" s="217"/>
      <c r="P31" s="217"/>
    </row>
    <row r="32" spans="1:16" x14ac:dyDescent="0.15">
      <c r="A32" s="217"/>
      <c r="B32" s="219"/>
      <c r="C32" s="220" t="s">
        <v>65</v>
      </c>
      <c r="D32" s="220" t="s">
        <v>66</v>
      </c>
      <c r="E32" s="220" t="s">
        <v>67</v>
      </c>
      <c r="F32" s="217"/>
      <c r="G32" s="219"/>
      <c r="H32" s="219"/>
      <c r="I32" s="219"/>
      <c r="J32" s="219"/>
      <c r="K32" s="219"/>
      <c r="L32" s="217"/>
      <c r="M32" s="217"/>
      <c r="N32" s="217"/>
      <c r="O32" s="217"/>
      <c r="P32" s="217"/>
    </row>
    <row r="33" spans="1:16" x14ac:dyDescent="0.15">
      <c r="A33" s="217"/>
      <c r="B33" s="220">
        <v>1</v>
      </c>
      <c r="C33" s="229">
        <v>430000</v>
      </c>
      <c r="D33" s="229">
        <f>430000+$D$31*(B33)</f>
        <v>720000</v>
      </c>
      <c r="E33" s="229">
        <f>430000+$E$31*B33</f>
        <v>965000</v>
      </c>
      <c r="F33" s="217"/>
      <c r="G33" s="220" t="str">
        <f>IF(ISNA(IF(AND(I33&gt;=O18,I32&lt;=O18),"○","×"))=TRUE,"×",IF(AND(I33&gt;=O18,I32&lt;=O18),"○","×"))</f>
        <v>×</v>
      </c>
      <c r="H33" s="219">
        <v>0.7</v>
      </c>
      <c r="I33" s="229" t="e">
        <f>VLOOKUP($G$18,$B$33:$E$38,2,FALSE)</f>
        <v>#N/A</v>
      </c>
      <c r="J33" s="230" t="s">
        <v>69</v>
      </c>
      <c r="K33" s="219" t="s">
        <v>96</v>
      </c>
      <c r="L33" s="217"/>
      <c r="M33" s="217"/>
      <c r="N33" s="217"/>
      <c r="O33" s="217"/>
      <c r="P33" s="217"/>
    </row>
    <row r="34" spans="1:16" x14ac:dyDescent="0.15">
      <c r="A34" s="217"/>
      <c r="B34" s="220">
        <v>2</v>
      </c>
      <c r="C34" s="229">
        <f>$C$33+IF(P18&gt;1,100000*(P18-1),0)</f>
        <v>430000</v>
      </c>
      <c r="D34" s="229">
        <f>430000+$D$31*(B34)+IF(P18&gt;1,100000*(P18-1),0)</f>
        <v>1010000</v>
      </c>
      <c r="E34" s="229">
        <f>430000+$E$31*B34+IF(P18&gt;1,100000*(P18-1),0)</f>
        <v>1500000</v>
      </c>
      <c r="F34" s="217"/>
      <c r="G34" s="220" t="str">
        <f>IF(O18&gt;430000,IF(AND(I34&gt;=O18,I33&lt;=O18),"○","×"),"×")</f>
        <v>×</v>
      </c>
      <c r="H34" s="219">
        <v>0.5</v>
      </c>
      <c r="I34" s="229" t="e">
        <f>VLOOKUP($G$18,$B$33:$E$38,3,FALSE)</f>
        <v>#N/A</v>
      </c>
      <c r="J34" s="230" t="s">
        <v>70</v>
      </c>
      <c r="K34" s="219" t="s">
        <v>97</v>
      </c>
      <c r="L34" s="217"/>
      <c r="M34" s="217"/>
      <c r="N34" s="217"/>
      <c r="O34" s="217"/>
      <c r="P34" s="217"/>
    </row>
    <row r="35" spans="1:16" x14ac:dyDescent="0.15">
      <c r="A35" s="217"/>
      <c r="B35" s="220">
        <v>3</v>
      </c>
      <c r="C35" s="229">
        <f>$C$33+IF(P18&gt;1,100000*(P18-1),0)</f>
        <v>430000</v>
      </c>
      <c r="D35" s="229">
        <f>430000+$D$31*(B35)+IF(P18&gt;1,100000*(P18-1),0)</f>
        <v>1300000</v>
      </c>
      <c r="E35" s="229">
        <f>430000+$E$31*B35+IF(P18&gt;1,100000*(P18-1),0)</f>
        <v>2035000</v>
      </c>
      <c r="F35" s="217"/>
      <c r="G35" s="220" t="str">
        <f>IF(O18&gt;430000,IF(AND(I35&gt;=O18,I34&lt;=O18),"○","×"),"×")</f>
        <v>×</v>
      </c>
      <c r="H35" s="219">
        <v>0.2</v>
      </c>
      <c r="I35" s="229" t="e">
        <f>VLOOKUP($G$18,$B$33:$E$38,4,FALSE)</f>
        <v>#N/A</v>
      </c>
      <c r="J35" s="230" t="s">
        <v>71</v>
      </c>
      <c r="K35" s="219" t="s">
        <v>95</v>
      </c>
      <c r="L35" s="217"/>
      <c r="M35" s="217"/>
      <c r="N35" s="217"/>
      <c r="O35" s="217"/>
      <c r="P35" s="217"/>
    </row>
    <row r="36" spans="1:16" x14ac:dyDescent="0.15">
      <c r="A36" s="217"/>
      <c r="B36" s="220">
        <v>4</v>
      </c>
      <c r="C36" s="229">
        <f>$C$33+IF(P18&gt;1,100000*(P18-1),0)</f>
        <v>430000</v>
      </c>
      <c r="D36" s="229">
        <f>430000+$D$31*(B36)+IF(P18&gt;1,100000*(P18-1),0)</f>
        <v>1590000</v>
      </c>
      <c r="E36" s="229">
        <f>430000+$E$31*B36+IF(P18&gt;1,100000*(P18-1),0)</f>
        <v>2570000</v>
      </c>
      <c r="F36" s="217"/>
      <c r="G36" s="220" t="str">
        <f>IF(ISNA(IF(I35&lt;O18,"○","×"))=TRUE,"×",IF(I35&lt;O18,"○","×"))</f>
        <v>×</v>
      </c>
      <c r="H36" s="219">
        <v>1</v>
      </c>
      <c r="I36" s="219">
        <v>0</v>
      </c>
      <c r="J36" s="219">
        <v>0</v>
      </c>
      <c r="K36" s="219"/>
      <c r="L36" s="217"/>
      <c r="M36" s="217"/>
      <c r="N36" s="217"/>
      <c r="O36" s="217"/>
      <c r="P36" s="217"/>
    </row>
    <row r="37" spans="1:16" x14ac:dyDescent="0.15">
      <c r="A37" s="217"/>
      <c r="B37" s="220">
        <v>5</v>
      </c>
      <c r="C37" s="229">
        <f>$C$33+IF(P18&gt;1,100000*(P18-1),0)</f>
        <v>430000</v>
      </c>
      <c r="D37" s="229">
        <f>430000+$D$31*(B37)+IF(P18&gt;1,100000*(P18-1),0)</f>
        <v>1880000</v>
      </c>
      <c r="E37" s="229">
        <f>430000+$E$31*B37+IF(P18&gt;1,100000*(P18-1),0)</f>
        <v>3105000</v>
      </c>
      <c r="F37" s="217"/>
      <c r="G37" s="217"/>
      <c r="H37" s="217"/>
      <c r="I37" s="217"/>
      <c r="J37" s="217"/>
      <c r="K37" s="217"/>
      <c r="L37" s="217"/>
      <c r="M37" s="217"/>
      <c r="N37" s="217"/>
      <c r="O37" s="217"/>
      <c r="P37" s="217"/>
    </row>
    <row r="38" spans="1:16" x14ac:dyDescent="0.15">
      <c r="A38" s="217"/>
      <c r="B38" s="220">
        <v>6</v>
      </c>
      <c r="C38" s="229">
        <f>$C$33+IF(P18&gt;1,100000*(P18-1),0)</f>
        <v>430000</v>
      </c>
      <c r="D38" s="229">
        <f>430000+$D$31*(B38)+IF(P18&gt;1,100000*(P18-1),0)</f>
        <v>2170000</v>
      </c>
      <c r="E38" s="229">
        <f>430000+$E$31*B38+IF(P18&gt;1,100000*(P18-1),0)</f>
        <v>3640000</v>
      </c>
      <c r="F38" s="217"/>
      <c r="G38" s="217"/>
      <c r="H38" s="217"/>
      <c r="I38" s="217"/>
      <c r="J38" s="217"/>
      <c r="K38" s="217"/>
      <c r="L38" s="217"/>
      <c r="M38" s="217"/>
      <c r="N38" s="217"/>
      <c r="O38" s="217"/>
      <c r="P38" s="217"/>
    </row>
    <row r="39" spans="1:16" x14ac:dyDescent="0.15">
      <c r="A39" s="217"/>
      <c r="B39" s="217"/>
      <c r="C39" s="217"/>
      <c r="D39" s="217"/>
      <c r="E39" s="217"/>
      <c r="F39" s="217"/>
      <c r="G39" s="217"/>
      <c r="H39" s="217"/>
      <c r="I39" s="217"/>
      <c r="J39" s="217"/>
      <c r="K39" s="217"/>
      <c r="L39" s="217"/>
      <c r="M39" s="217"/>
      <c r="N39" s="217"/>
      <c r="O39" s="217"/>
      <c r="P39" s="217"/>
    </row>
    <row r="40" spans="1:16" x14ac:dyDescent="0.15">
      <c r="A40" s="217"/>
      <c r="B40" s="217"/>
      <c r="C40" s="217"/>
      <c r="D40" s="217"/>
      <c r="E40" s="217"/>
      <c r="F40" s="217"/>
      <c r="G40" s="217"/>
      <c r="H40" s="217"/>
      <c r="I40" s="217"/>
      <c r="J40" s="217"/>
      <c r="K40" s="217"/>
      <c r="L40" s="217"/>
      <c r="M40" s="217"/>
      <c r="N40" s="217"/>
      <c r="O40" s="217"/>
      <c r="P40" s="217"/>
    </row>
    <row r="41" spans="1:16" x14ac:dyDescent="0.15">
      <c r="A41" s="217"/>
      <c r="B41" s="217" t="s">
        <v>110</v>
      </c>
      <c r="C41" s="217"/>
      <c r="D41" s="217"/>
      <c r="E41" s="217"/>
      <c r="F41" s="217"/>
      <c r="G41" s="217"/>
      <c r="H41" s="217"/>
      <c r="I41" s="217"/>
      <c r="J41" s="217"/>
      <c r="K41" s="217"/>
      <c r="L41" s="217"/>
      <c r="M41" s="217"/>
      <c r="N41" s="217"/>
      <c r="O41" s="217"/>
      <c r="P41" s="217"/>
    </row>
    <row r="42" spans="1:16" x14ac:dyDescent="0.15">
      <c r="A42" s="217"/>
      <c r="B42" s="222"/>
      <c r="C42" s="222" t="s">
        <v>114</v>
      </c>
      <c r="D42" s="222" t="s">
        <v>115</v>
      </c>
      <c r="E42" s="217"/>
      <c r="F42" s="217"/>
      <c r="G42" s="217"/>
      <c r="H42" s="217"/>
      <c r="I42" s="217"/>
      <c r="J42" s="217"/>
      <c r="K42" s="217"/>
      <c r="L42" s="217"/>
      <c r="M42" s="217"/>
      <c r="N42" s="217"/>
      <c r="O42" s="217"/>
      <c r="P42" s="217"/>
    </row>
    <row r="43" spans="1:16" x14ac:dyDescent="0.15">
      <c r="A43" s="217"/>
      <c r="B43" s="220" t="s">
        <v>111</v>
      </c>
      <c r="C43" s="220" t="str">
        <f>IF(D43="","無","有")</f>
        <v>無</v>
      </c>
      <c r="D43" s="219" t="str">
        <f>IF(AND(D12=0,OR(F12&lt;&gt;0,F13&lt;&gt;0,F14&lt;&gt;0,F15&lt;&gt;0,F16&lt;&gt;0,F17&lt;&gt;0)),"世帯主区分未入力","")</f>
        <v/>
      </c>
      <c r="E43" s="217"/>
      <c r="F43" s="217"/>
      <c r="G43" s="217"/>
      <c r="H43" s="217"/>
      <c r="I43" s="217"/>
      <c r="J43" s="217"/>
      <c r="K43" s="217"/>
      <c r="L43" s="217"/>
      <c r="M43" s="217"/>
      <c r="N43" s="217"/>
      <c r="O43" s="217"/>
      <c r="P43" s="217"/>
    </row>
    <row r="44" spans="1:16" x14ac:dyDescent="0.15">
      <c r="A44" s="217"/>
      <c r="B44" s="220" t="s">
        <v>112</v>
      </c>
      <c r="C44" s="220" t="str">
        <f>IF(D44="","無","有")</f>
        <v>無</v>
      </c>
      <c r="D44" s="219" t="str">
        <f>IF(AND(F12=0,OR(F13&lt;&gt;0,F14&lt;&gt;0,F15&lt;&gt;0,F16&lt;&gt;0,F17&lt;&gt;0)),"世帯主の年齢区分が未入力","")</f>
        <v/>
      </c>
      <c r="E44" s="217"/>
      <c r="F44" s="217"/>
      <c r="G44" s="217"/>
      <c r="H44" s="217"/>
      <c r="I44" s="217"/>
      <c r="J44" s="217"/>
      <c r="K44" s="217"/>
      <c r="L44" s="217"/>
      <c r="M44" s="217"/>
      <c r="N44" s="217"/>
      <c r="O44" s="217"/>
      <c r="P44" s="217"/>
    </row>
    <row r="45" spans="1:16" x14ac:dyDescent="0.15">
      <c r="A45" s="217"/>
      <c r="B45" s="220" t="s">
        <v>113</v>
      </c>
      <c r="C45" s="220" t="str">
        <f>IF(D45="","無","有")</f>
        <v>無</v>
      </c>
      <c r="D45" s="219" t="str">
        <f>IF(AND(D12=1,F12=5),"世帯主が普通世帯主で年齢区分が75歳以上です。","")</f>
        <v/>
      </c>
      <c r="E45" s="217"/>
      <c r="F45" s="217"/>
      <c r="G45" s="217"/>
      <c r="H45" s="217"/>
      <c r="I45" s="217"/>
      <c r="J45" s="217"/>
      <c r="K45" s="217"/>
      <c r="L45" s="217"/>
      <c r="M45" s="217"/>
      <c r="N45" s="217"/>
      <c r="O45" s="217"/>
      <c r="P45" s="217"/>
    </row>
    <row r="46" spans="1:16" x14ac:dyDescent="0.15">
      <c r="A46" s="217"/>
      <c r="B46" s="231" t="s">
        <v>116</v>
      </c>
      <c r="C46" s="383" t="str">
        <f>IF(OR(D46&lt;&gt;"",D47&lt;&gt;"",D48&lt;&gt;"",D49&lt;&gt;"",D50&lt;&gt;"",D51&lt;&gt;""),"有","無")</f>
        <v>無</v>
      </c>
      <c r="D46" s="232" t="str">
        <f>IF(AND(D12=1,F12=0,OR(I12&lt;&gt;0,K12&lt;&gt;0,M12&lt;&gt;0)),"年齢区分入力なしで収入・所得情報入力あり","")</f>
        <v/>
      </c>
      <c r="E46" s="217"/>
      <c r="F46" s="217"/>
      <c r="G46" s="217"/>
      <c r="H46" s="217"/>
      <c r="I46" s="217"/>
      <c r="J46" s="217"/>
      <c r="K46" s="217"/>
      <c r="L46" s="217"/>
      <c r="M46" s="217"/>
      <c r="N46" s="217"/>
      <c r="O46" s="217"/>
      <c r="P46" s="217"/>
    </row>
    <row r="47" spans="1:16" x14ac:dyDescent="0.15">
      <c r="A47" s="217"/>
      <c r="B47" s="233" t="s">
        <v>117</v>
      </c>
      <c r="C47" s="384"/>
      <c r="D47" s="234" t="str">
        <f>IF(AND(OR(F13=0,F13=1),OR(I13&lt;&gt;0,K13&lt;&gt;0,M13&lt;&gt;0)),"年齢区分入力なしで収入・所得情報入力あり","")</f>
        <v/>
      </c>
      <c r="E47" s="217"/>
      <c r="F47" s="217"/>
      <c r="G47" s="217"/>
      <c r="H47" s="217"/>
      <c r="I47" s="217"/>
      <c r="J47" s="217"/>
      <c r="K47" s="217"/>
      <c r="L47" s="217"/>
      <c r="M47" s="217"/>
      <c r="N47" s="217"/>
      <c r="O47" s="217"/>
      <c r="P47" s="217"/>
    </row>
    <row r="48" spans="1:16" x14ac:dyDescent="0.15">
      <c r="A48" s="217"/>
      <c r="B48" s="233" t="s">
        <v>118</v>
      </c>
      <c r="C48" s="384"/>
      <c r="D48" s="234" t="str">
        <f>IF(AND(OR(F14=0,F14=1),OR(I14&lt;&gt;0,K14&lt;&gt;0,M14&lt;&gt;0)),"年齢区分入力なしで収入・所得情報入力あり","")</f>
        <v/>
      </c>
      <c r="E48" s="217"/>
      <c r="F48" s="217"/>
      <c r="G48" s="217"/>
      <c r="H48" s="217"/>
      <c r="I48" s="217"/>
      <c r="J48" s="217"/>
      <c r="K48" s="217"/>
      <c r="L48" s="217"/>
      <c r="M48" s="217"/>
      <c r="N48" s="217"/>
      <c r="O48" s="217"/>
      <c r="P48" s="217"/>
    </row>
    <row r="49" spans="1:16" x14ac:dyDescent="0.15">
      <c r="A49" s="217"/>
      <c r="B49" s="233" t="s">
        <v>119</v>
      </c>
      <c r="C49" s="384"/>
      <c r="D49" s="234" t="str">
        <f>IF(AND(OR(F15=0,F15=1),OR(I15&lt;&gt;0,K15&lt;&gt;0,M15&lt;&gt;0)),"年齢区分入力なしで収入・所得情報入力あり","")</f>
        <v/>
      </c>
      <c r="E49" s="217"/>
      <c r="F49" s="217"/>
      <c r="G49" s="217"/>
      <c r="H49" s="217"/>
      <c r="I49" s="217"/>
      <c r="J49" s="217"/>
      <c r="K49" s="217"/>
      <c r="L49" s="217"/>
      <c r="M49" s="217"/>
      <c r="N49" s="217"/>
      <c r="O49" s="217"/>
      <c r="P49" s="217"/>
    </row>
    <row r="50" spans="1:16" x14ac:dyDescent="0.15">
      <c r="A50" s="217"/>
      <c r="B50" s="233" t="s">
        <v>120</v>
      </c>
      <c r="C50" s="384"/>
      <c r="D50" s="234" t="str">
        <f>IF(AND(OR(F16=0,F16=1),OR(I16&lt;&gt;0,K16&lt;&gt;0,M16&lt;&gt;0)),"年齢区分入力なしで収入・所得情報入力あり","")</f>
        <v/>
      </c>
      <c r="E50" s="217"/>
      <c r="F50" s="217"/>
      <c r="G50" s="217"/>
      <c r="H50" s="217"/>
      <c r="I50" s="217"/>
      <c r="J50" s="217"/>
      <c r="K50" s="217"/>
      <c r="L50" s="217"/>
      <c r="M50" s="217"/>
      <c r="N50" s="217"/>
      <c r="O50" s="217"/>
      <c r="P50" s="217"/>
    </row>
    <row r="51" spans="1:16" x14ac:dyDescent="0.15">
      <c r="A51" s="217"/>
      <c r="B51" s="235" t="s">
        <v>121</v>
      </c>
      <c r="C51" s="385"/>
      <c r="D51" s="236" t="str">
        <f>IF(AND(OR(F17=0,F17=1),OR(I17&lt;&gt;0,K17&lt;&gt;0,M17&lt;&gt;0)),"年齢区分入力なしで収入・所得情報入力あり","")</f>
        <v/>
      </c>
      <c r="E51" s="217"/>
      <c r="F51" s="217"/>
      <c r="G51" s="217"/>
      <c r="H51" s="217"/>
      <c r="I51" s="217"/>
      <c r="J51" s="217"/>
      <c r="K51" s="217"/>
      <c r="L51" s="217"/>
      <c r="M51" s="217"/>
      <c r="N51" s="217"/>
      <c r="O51" s="217"/>
      <c r="P51" s="217"/>
    </row>
    <row r="52" spans="1:16" x14ac:dyDescent="0.15">
      <c r="A52" s="217"/>
      <c r="B52" s="217"/>
      <c r="C52" s="217"/>
      <c r="D52" s="217"/>
      <c r="E52" s="217"/>
      <c r="F52" s="217"/>
      <c r="G52" s="217"/>
      <c r="H52" s="217"/>
      <c r="I52" s="217"/>
      <c r="J52" s="217"/>
      <c r="K52" s="217"/>
      <c r="L52" s="217"/>
      <c r="M52" s="217"/>
      <c r="N52" s="217"/>
      <c r="O52" s="217"/>
      <c r="P52" s="217"/>
    </row>
    <row r="53" spans="1:16" x14ac:dyDescent="0.15">
      <c r="A53" s="217"/>
      <c r="B53" s="217" t="s">
        <v>122</v>
      </c>
      <c r="C53" s="217"/>
      <c r="D53" s="217"/>
      <c r="E53" s="217"/>
      <c r="F53" s="217"/>
      <c r="G53" s="217"/>
      <c r="H53" s="217"/>
      <c r="I53" s="217"/>
      <c r="J53" s="217"/>
      <c r="K53" s="217"/>
      <c r="L53" s="217"/>
      <c r="M53" s="217"/>
      <c r="N53" s="217"/>
      <c r="O53" s="217"/>
      <c r="P53" s="217"/>
    </row>
    <row r="54" spans="1:16" x14ac:dyDescent="0.15">
      <c r="A54" s="217"/>
      <c r="B54" s="219" t="s">
        <v>123</v>
      </c>
      <c r="C54" s="219" t="s">
        <v>124</v>
      </c>
      <c r="D54" s="217"/>
      <c r="E54" s="217"/>
      <c r="F54" s="217"/>
      <c r="G54" s="217"/>
      <c r="H54" s="217"/>
      <c r="I54" s="217"/>
      <c r="J54" s="217"/>
      <c r="K54" s="217"/>
      <c r="L54" s="217"/>
      <c r="M54" s="217"/>
      <c r="N54" s="217"/>
      <c r="O54" s="217"/>
      <c r="P54" s="217"/>
    </row>
    <row r="55" spans="1:16" x14ac:dyDescent="0.15">
      <c r="A55" s="217"/>
      <c r="B55" s="219" t="str">
        <f>IF(C43&lt;&gt;"無","エラー①",IF(C44&lt;&gt;"無","エラー②",IF(C45&lt;&gt;"無","エラー③",IF(C46&lt;&gt;"無","エラー④",""))))</f>
        <v/>
      </c>
      <c r="C55" s="219" t="str">
        <f>IF(B55="エラー①","エラー①：世帯主区分が未入力です。",IF(B55="エラー②","エラー②：世帯主の年齢区分が未入力です。",IF(B55="エラー③","エラー③：世帯主が普通世帯主ですが、年齢区分が75歳以上になっています。",IF(B55="エラー④","エラー④：年齢区分未入力で収入・所得の入力がある加入者がいます。",""))))</f>
        <v/>
      </c>
      <c r="D55" s="217"/>
      <c r="E55" s="217"/>
      <c r="F55" s="217"/>
      <c r="G55" s="217"/>
      <c r="H55" s="217"/>
      <c r="I55" s="217"/>
      <c r="J55" s="217"/>
      <c r="K55" s="217"/>
      <c r="L55" s="217"/>
      <c r="M55" s="217"/>
      <c r="N55" s="217"/>
      <c r="O55" s="217"/>
      <c r="P55" s="217"/>
    </row>
  </sheetData>
  <sheetProtection sheet="1" objects="1" scenarios="1"/>
  <mergeCells count="3">
    <mergeCell ref="C11:D11"/>
    <mergeCell ref="E11:F11"/>
    <mergeCell ref="C46:C51"/>
  </mergeCells>
  <phoneticPr fontId="2"/>
  <pageMargins left="0.7" right="0.7" top="0.75" bottom="0.75" header="0.3" footer="0.3"/>
  <pageSetup paperSize="9" scale="6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78"/>
  <sheetViews>
    <sheetView zoomScale="80" zoomScaleNormal="80" workbookViewId="0"/>
  </sheetViews>
  <sheetFormatPr defaultRowHeight="15.75" x14ac:dyDescent="0.15"/>
  <cols>
    <col min="1" max="1" width="9" style="4"/>
    <col min="2" max="2" width="12.875" style="4" bestFit="1" customWidth="1"/>
    <col min="3" max="3" width="17.125" style="4" customWidth="1"/>
    <col min="4" max="4" width="9" style="4"/>
    <col min="5" max="5" width="13.375" style="4" bestFit="1" customWidth="1"/>
    <col min="6" max="8" width="11.875" style="4" bestFit="1" customWidth="1"/>
    <col min="9" max="16384" width="9" style="4"/>
  </cols>
  <sheetData>
    <row r="1" spans="1:8" x14ac:dyDescent="0.15">
      <c r="A1" s="237"/>
      <c r="B1" s="237" t="s">
        <v>27</v>
      </c>
      <c r="C1" s="237" t="s">
        <v>29</v>
      </c>
      <c r="D1" s="237"/>
      <c r="E1" s="237" t="s">
        <v>31</v>
      </c>
      <c r="F1" s="237" t="s">
        <v>30</v>
      </c>
      <c r="G1" s="237" t="s">
        <v>31</v>
      </c>
      <c r="H1" s="237" t="s">
        <v>30</v>
      </c>
    </row>
    <row r="2" spans="1:8" x14ac:dyDescent="0.15">
      <c r="A2" s="237"/>
      <c r="B2" s="237" t="s">
        <v>0</v>
      </c>
      <c r="C2" s="237"/>
      <c r="D2" s="237"/>
      <c r="E2" s="237" t="s">
        <v>0</v>
      </c>
      <c r="F2" s="237"/>
      <c r="G2" s="237"/>
      <c r="H2" s="237"/>
    </row>
    <row r="3" spans="1:8" x14ac:dyDescent="0.15">
      <c r="A3" s="237"/>
      <c r="B3" s="238">
        <v>0</v>
      </c>
      <c r="C3" s="238">
        <v>0</v>
      </c>
      <c r="D3" s="237"/>
      <c r="E3" s="239" t="s">
        <v>32</v>
      </c>
      <c r="F3" s="239"/>
      <c r="G3" s="239" t="s">
        <v>33</v>
      </c>
      <c r="H3" s="239"/>
    </row>
    <row r="4" spans="1:8" x14ac:dyDescent="0.15">
      <c r="A4" s="237"/>
      <c r="B4" s="238">
        <v>551000</v>
      </c>
      <c r="C4" s="238">
        <f>試算シート!S25-550000</f>
        <v>-550000</v>
      </c>
      <c r="D4" s="237"/>
      <c r="E4" s="238">
        <v>0</v>
      </c>
      <c r="F4" s="238">
        <f>IF(試算シート!AA25-600000&lt;0,0,試算シート!AA25-600000)</f>
        <v>0</v>
      </c>
      <c r="G4" s="238">
        <v>0</v>
      </c>
      <c r="H4" s="238">
        <f>IF(試算シート!AA25-1100000&lt;0,0,試算シート!AA25-1100000)</f>
        <v>0</v>
      </c>
    </row>
    <row r="5" spans="1:8" x14ac:dyDescent="0.15">
      <c r="A5" s="237"/>
      <c r="B5" s="238">
        <v>1619000</v>
      </c>
      <c r="C5" s="238">
        <v>1069000</v>
      </c>
      <c r="D5" s="237"/>
      <c r="E5" s="238">
        <v>1300000</v>
      </c>
      <c r="F5" s="238">
        <f>試算シート!AA25*0.75-275000</f>
        <v>-275000</v>
      </c>
      <c r="G5" s="238">
        <v>3300000</v>
      </c>
      <c r="H5" s="238">
        <f>試算シート!AA25*0.75-275000</f>
        <v>-275000</v>
      </c>
    </row>
    <row r="6" spans="1:8" x14ac:dyDescent="0.15">
      <c r="A6" s="237"/>
      <c r="B6" s="238">
        <v>1620000</v>
      </c>
      <c r="C6" s="238">
        <v>1070000</v>
      </c>
      <c r="D6" s="237"/>
      <c r="E6" s="238">
        <v>4100000</v>
      </c>
      <c r="F6" s="238">
        <f>試算シート!AA25*0.85-685000</f>
        <v>-685000</v>
      </c>
      <c r="G6" s="238">
        <v>4100000</v>
      </c>
      <c r="H6" s="238">
        <f>試算シート!AA25*0.85-685000</f>
        <v>-685000</v>
      </c>
    </row>
    <row r="7" spans="1:8" x14ac:dyDescent="0.15">
      <c r="A7" s="237"/>
      <c r="B7" s="238">
        <v>1622000</v>
      </c>
      <c r="C7" s="238">
        <v>1072000</v>
      </c>
      <c r="D7" s="237"/>
      <c r="E7" s="238">
        <v>7700000</v>
      </c>
      <c r="F7" s="238">
        <f>試算シート!AA25*0.95-1455000</f>
        <v>-1455000</v>
      </c>
      <c r="G7" s="238">
        <v>7700000</v>
      </c>
      <c r="H7" s="238">
        <f>試算シート!AA25*0.95-1455000</f>
        <v>-1455000</v>
      </c>
    </row>
    <row r="8" spans="1:8" x14ac:dyDescent="0.15">
      <c r="A8" s="237"/>
      <c r="B8" s="238">
        <v>1624000</v>
      </c>
      <c r="C8" s="238">
        <v>1074000</v>
      </c>
      <c r="D8" s="237"/>
      <c r="E8" s="238">
        <v>999999999</v>
      </c>
      <c r="F8" s="238">
        <f>試算シート!AA25-1955000</f>
        <v>-1955000</v>
      </c>
      <c r="G8" s="238">
        <v>999999999</v>
      </c>
      <c r="H8" s="238">
        <f>試算シート!AA25-1955000</f>
        <v>-1955000</v>
      </c>
    </row>
    <row r="9" spans="1:8" x14ac:dyDescent="0.15">
      <c r="A9" s="237"/>
      <c r="B9" s="238">
        <v>1628000</v>
      </c>
      <c r="C9" s="238">
        <f>ROUNDDOWN(試算シート!S25/4,-3)*2.4+100000</f>
        <v>100000</v>
      </c>
      <c r="D9" s="237"/>
      <c r="E9" s="237"/>
      <c r="F9" s="237"/>
      <c r="G9" s="237"/>
      <c r="H9" s="237"/>
    </row>
    <row r="10" spans="1:8" x14ac:dyDescent="0.15">
      <c r="A10" s="237"/>
      <c r="B10" s="238">
        <v>1800000</v>
      </c>
      <c r="C10" s="238">
        <f>ROUNDDOWN(試算シート!S25/4,-3)*2.8-80000</f>
        <v>-80000</v>
      </c>
      <c r="D10" s="237"/>
      <c r="E10" s="237"/>
      <c r="F10" s="237"/>
      <c r="G10" s="237"/>
      <c r="H10" s="237"/>
    </row>
    <row r="11" spans="1:8" x14ac:dyDescent="0.15">
      <c r="A11" s="237"/>
      <c r="B11" s="238">
        <v>3600000</v>
      </c>
      <c r="C11" s="238">
        <f>ROUNDDOWN(試算シート!S25/4,-3)*3.2-440000</f>
        <v>-440000</v>
      </c>
      <c r="D11" s="237"/>
      <c r="E11" s="237"/>
      <c r="F11" s="237"/>
      <c r="G11" s="237"/>
      <c r="H11" s="237"/>
    </row>
    <row r="12" spans="1:8" x14ac:dyDescent="0.15">
      <c r="A12" s="237"/>
      <c r="B12" s="238">
        <v>6600000</v>
      </c>
      <c r="C12" s="238">
        <f>試算シート!S25*0.9-1100000</f>
        <v>-1100000</v>
      </c>
      <c r="D12" s="237"/>
      <c r="E12" s="237"/>
      <c r="F12" s="237"/>
      <c r="G12" s="237"/>
      <c r="H12" s="237"/>
    </row>
    <row r="13" spans="1:8" x14ac:dyDescent="0.15">
      <c r="A13" s="237"/>
      <c r="B13" s="238">
        <v>8500000</v>
      </c>
      <c r="C13" s="238">
        <f>試算シート!S25-1950000</f>
        <v>-1950000</v>
      </c>
      <c r="D13" s="237"/>
      <c r="E13" s="237"/>
      <c r="F13" s="237"/>
      <c r="G13" s="237"/>
      <c r="H13" s="237"/>
    </row>
    <row r="14" spans="1:8" ht="6.75" customHeight="1" x14ac:dyDescent="0.15">
      <c r="A14" s="237"/>
      <c r="B14" s="237"/>
      <c r="C14" s="237"/>
      <c r="D14" s="237"/>
      <c r="E14" s="237"/>
      <c r="F14" s="237"/>
      <c r="G14" s="237"/>
      <c r="H14" s="237"/>
    </row>
    <row r="15" spans="1:8" x14ac:dyDescent="0.15">
      <c r="A15" s="237"/>
      <c r="B15" s="237" t="s">
        <v>147</v>
      </c>
      <c r="C15" s="237"/>
      <c r="D15" s="237"/>
      <c r="E15" s="237" t="s">
        <v>148</v>
      </c>
      <c r="F15" s="237"/>
      <c r="G15" s="237"/>
      <c r="H15" s="237"/>
    </row>
    <row r="16" spans="1:8" x14ac:dyDescent="0.15">
      <c r="A16" s="237"/>
      <c r="B16" s="238">
        <v>0</v>
      </c>
      <c r="C16" s="238">
        <v>0</v>
      </c>
      <c r="D16" s="237"/>
      <c r="E16" s="239" t="s">
        <v>32</v>
      </c>
      <c r="F16" s="239"/>
      <c r="G16" s="239" t="s">
        <v>33</v>
      </c>
      <c r="H16" s="239"/>
    </row>
    <row r="17" spans="1:8" x14ac:dyDescent="0.15">
      <c r="A17" s="237"/>
      <c r="B17" s="238">
        <v>551000</v>
      </c>
      <c r="C17" s="238">
        <f>試算シート!S26-550000</f>
        <v>-550000</v>
      </c>
      <c r="D17" s="237"/>
      <c r="E17" s="238">
        <v>0</v>
      </c>
      <c r="F17" s="238">
        <f>IF(試算シート!AA26-600000&lt;0,0,試算シート!AA26-600000)</f>
        <v>0</v>
      </c>
      <c r="G17" s="238">
        <v>0</v>
      </c>
      <c r="H17" s="238">
        <f>IF(試算シート!AA26-1100000&lt;0,0,試算シート!AA26-1100000)</f>
        <v>0</v>
      </c>
    </row>
    <row r="18" spans="1:8" x14ac:dyDescent="0.15">
      <c r="A18" s="237"/>
      <c r="B18" s="238">
        <v>1619000</v>
      </c>
      <c r="C18" s="238">
        <v>1069000</v>
      </c>
      <c r="D18" s="237"/>
      <c r="E18" s="238">
        <v>1300000</v>
      </c>
      <c r="F18" s="238">
        <f>試算シート!AA26*0.75-275000</f>
        <v>-275000</v>
      </c>
      <c r="G18" s="238">
        <v>3300000</v>
      </c>
      <c r="H18" s="238">
        <f>試算シート!AA26*0.75-275000</f>
        <v>-275000</v>
      </c>
    </row>
    <row r="19" spans="1:8" x14ac:dyDescent="0.15">
      <c r="A19" s="237"/>
      <c r="B19" s="238">
        <v>1620000</v>
      </c>
      <c r="C19" s="238">
        <v>1070000</v>
      </c>
      <c r="D19" s="237"/>
      <c r="E19" s="238">
        <v>4100000</v>
      </c>
      <c r="F19" s="238">
        <f>試算シート!AA26*0.85-685000</f>
        <v>-685000</v>
      </c>
      <c r="G19" s="238">
        <v>4100000</v>
      </c>
      <c r="H19" s="238">
        <f>試算シート!AA26*0.85-685000</f>
        <v>-685000</v>
      </c>
    </row>
    <row r="20" spans="1:8" x14ac:dyDescent="0.15">
      <c r="A20" s="237"/>
      <c r="B20" s="238">
        <v>1622000</v>
      </c>
      <c r="C20" s="238">
        <v>1072000</v>
      </c>
      <c r="D20" s="237"/>
      <c r="E20" s="238">
        <v>7700000</v>
      </c>
      <c r="F20" s="238">
        <f>試算シート!AA26*0.95-1455000</f>
        <v>-1455000</v>
      </c>
      <c r="G20" s="238">
        <v>7700000</v>
      </c>
      <c r="H20" s="238">
        <f>試算シート!AA26*0.95-1455000</f>
        <v>-1455000</v>
      </c>
    </row>
    <row r="21" spans="1:8" x14ac:dyDescent="0.15">
      <c r="A21" s="237"/>
      <c r="B21" s="238">
        <v>1624000</v>
      </c>
      <c r="C21" s="238">
        <v>1074000</v>
      </c>
      <c r="D21" s="237"/>
      <c r="E21" s="238">
        <v>999999999</v>
      </c>
      <c r="F21" s="238">
        <f>試算シート!AA26-1955000</f>
        <v>-1955000</v>
      </c>
      <c r="G21" s="238">
        <v>999999999</v>
      </c>
      <c r="H21" s="238">
        <f>試算シート!AA26-1955000</f>
        <v>-1955000</v>
      </c>
    </row>
    <row r="22" spans="1:8" x14ac:dyDescent="0.15">
      <c r="A22" s="237"/>
      <c r="B22" s="238">
        <v>1628000</v>
      </c>
      <c r="C22" s="238">
        <f>ROUNDDOWN(試算シート!S26/4,-3)*2.4+100000</f>
        <v>100000</v>
      </c>
      <c r="D22" s="237"/>
      <c r="E22" s="237"/>
      <c r="F22" s="237"/>
      <c r="G22" s="237"/>
      <c r="H22" s="237"/>
    </row>
    <row r="23" spans="1:8" x14ac:dyDescent="0.15">
      <c r="A23" s="237"/>
      <c r="B23" s="238">
        <v>1800000</v>
      </c>
      <c r="C23" s="238">
        <f>ROUNDDOWN(試算シート!S26/4,-3)*2.8-80000</f>
        <v>-80000</v>
      </c>
      <c r="D23" s="237"/>
      <c r="E23" s="237"/>
      <c r="F23" s="237"/>
      <c r="G23" s="237"/>
      <c r="H23" s="237"/>
    </row>
    <row r="24" spans="1:8" x14ac:dyDescent="0.15">
      <c r="A24" s="237"/>
      <c r="B24" s="238">
        <v>3600000</v>
      </c>
      <c r="C24" s="238">
        <f>ROUNDDOWN(試算シート!S26/4,-3)*3.2-440000</f>
        <v>-440000</v>
      </c>
      <c r="D24" s="237"/>
      <c r="E24" s="237"/>
      <c r="F24" s="237"/>
      <c r="G24" s="237"/>
      <c r="H24" s="237"/>
    </row>
    <row r="25" spans="1:8" x14ac:dyDescent="0.15">
      <c r="A25" s="237"/>
      <c r="B25" s="238">
        <v>6600000</v>
      </c>
      <c r="C25" s="238">
        <f>試算シート!S26*0.9-1100000</f>
        <v>-1100000</v>
      </c>
      <c r="D25" s="237"/>
      <c r="E25" s="237"/>
      <c r="F25" s="237"/>
      <c r="G25" s="237"/>
      <c r="H25" s="237"/>
    </row>
    <row r="26" spans="1:8" x14ac:dyDescent="0.15">
      <c r="A26" s="237"/>
      <c r="B26" s="238">
        <v>8500000</v>
      </c>
      <c r="C26" s="238">
        <f>試算シート!S26-1950000</f>
        <v>-1950000</v>
      </c>
      <c r="D26" s="237"/>
      <c r="E26" s="237"/>
      <c r="F26" s="237"/>
      <c r="G26" s="237"/>
      <c r="H26" s="237"/>
    </row>
    <row r="27" spans="1:8" ht="7.5" customHeight="1" x14ac:dyDescent="0.15">
      <c r="A27" s="237"/>
      <c r="B27" s="237"/>
      <c r="C27" s="237"/>
      <c r="D27" s="237"/>
      <c r="E27" s="237"/>
      <c r="F27" s="237"/>
      <c r="G27" s="237"/>
      <c r="H27" s="237"/>
    </row>
    <row r="28" spans="1:8" x14ac:dyDescent="0.15">
      <c r="A28" s="237"/>
      <c r="B28" s="237" t="s">
        <v>149</v>
      </c>
      <c r="C28" s="237"/>
      <c r="D28" s="237"/>
      <c r="E28" s="237" t="s">
        <v>149</v>
      </c>
      <c r="F28" s="237"/>
      <c r="G28" s="237"/>
      <c r="H28" s="237"/>
    </row>
    <row r="29" spans="1:8" x14ac:dyDescent="0.15">
      <c r="A29" s="237"/>
      <c r="B29" s="238">
        <v>0</v>
      </c>
      <c r="C29" s="238">
        <v>0</v>
      </c>
      <c r="D29" s="237"/>
      <c r="E29" s="239" t="s">
        <v>32</v>
      </c>
      <c r="F29" s="240"/>
      <c r="G29" s="239" t="s">
        <v>33</v>
      </c>
      <c r="H29" s="240"/>
    </row>
    <row r="30" spans="1:8" x14ac:dyDescent="0.15">
      <c r="A30" s="237"/>
      <c r="B30" s="238">
        <v>551000</v>
      </c>
      <c r="C30" s="238">
        <f>試算シート!S27-550000</f>
        <v>-550000</v>
      </c>
      <c r="D30" s="237"/>
      <c r="E30" s="238">
        <v>0</v>
      </c>
      <c r="F30" s="238">
        <f>IF(試算シート!AA27-600000&lt;0,0,試算シート!AA27-600000)</f>
        <v>0</v>
      </c>
      <c r="G30" s="238">
        <v>0</v>
      </c>
      <c r="H30" s="238">
        <f>IF(試算シート!AA27-1100000&lt;0,0,試算シート!AA27-1100000)</f>
        <v>0</v>
      </c>
    </row>
    <row r="31" spans="1:8" x14ac:dyDescent="0.15">
      <c r="A31" s="237"/>
      <c r="B31" s="238">
        <v>1619000</v>
      </c>
      <c r="C31" s="238">
        <v>1069000</v>
      </c>
      <c r="D31" s="237"/>
      <c r="E31" s="238">
        <v>1300000</v>
      </c>
      <c r="F31" s="238">
        <f>試算シート!AA27*0.75-275000</f>
        <v>-275000</v>
      </c>
      <c r="G31" s="238">
        <v>3300000</v>
      </c>
      <c r="H31" s="238">
        <f>試算シート!AA27*0.75-275000</f>
        <v>-275000</v>
      </c>
    </row>
    <row r="32" spans="1:8" x14ac:dyDescent="0.15">
      <c r="A32" s="237"/>
      <c r="B32" s="238">
        <v>1620000</v>
      </c>
      <c r="C32" s="238">
        <v>1070000</v>
      </c>
      <c r="D32" s="237"/>
      <c r="E32" s="238">
        <v>4100000</v>
      </c>
      <c r="F32" s="238">
        <f>試算シート!AA27*0.85-685000</f>
        <v>-685000</v>
      </c>
      <c r="G32" s="238">
        <v>4100000</v>
      </c>
      <c r="H32" s="238">
        <f>試算シート!AA27*0.85-685000</f>
        <v>-685000</v>
      </c>
    </row>
    <row r="33" spans="1:8" x14ac:dyDescent="0.15">
      <c r="A33" s="237"/>
      <c r="B33" s="238">
        <v>1622000</v>
      </c>
      <c r="C33" s="238">
        <v>1072000</v>
      </c>
      <c r="D33" s="237"/>
      <c r="E33" s="238">
        <v>7700000</v>
      </c>
      <c r="F33" s="238">
        <f>試算シート!AA27*0.95-1455000</f>
        <v>-1455000</v>
      </c>
      <c r="G33" s="238">
        <v>7700000</v>
      </c>
      <c r="H33" s="238">
        <f>試算シート!AA27*0.95-1455000</f>
        <v>-1455000</v>
      </c>
    </row>
    <row r="34" spans="1:8" x14ac:dyDescent="0.15">
      <c r="A34" s="237"/>
      <c r="B34" s="238">
        <v>1624000</v>
      </c>
      <c r="C34" s="238">
        <v>1074000</v>
      </c>
      <c r="D34" s="237"/>
      <c r="E34" s="238">
        <v>999999999</v>
      </c>
      <c r="F34" s="238">
        <f>試算シート!AA27-1955000</f>
        <v>-1955000</v>
      </c>
      <c r="G34" s="238">
        <v>999999999</v>
      </c>
      <c r="H34" s="238">
        <f>試算シート!AA27-1955000</f>
        <v>-1955000</v>
      </c>
    </row>
    <row r="35" spans="1:8" x14ac:dyDescent="0.15">
      <c r="A35" s="237"/>
      <c r="B35" s="238">
        <v>1628000</v>
      </c>
      <c r="C35" s="238">
        <f>ROUNDDOWN(試算シート!S27/4,-3)*2.4+100000</f>
        <v>100000</v>
      </c>
      <c r="D35" s="237"/>
      <c r="E35" s="237"/>
      <c r="F35" s="237"/>
      <c r="G35" s="237"/>
      <c r="H35" s="237"/>
    </row>
    <row r="36" spans="1:8" x14ac:dyDescent="0.15">
      <c r="A36" s="237"/>
      <c r="B36" s="238">
        <v>1800000</v>
      </c>
      <c r="C36" s="238">
        <f>ROUNDDOWN(試算シート!S27/4,-3)*2.8-80000</f>
        <v>-80000</v>
      </c>
      <c r="D36" s="237"/>
      <c r="E36" s="237"/>
      <c r="F36" s="237"/>
      <c r="G36" s="237"/>
      <c r="H36" s="237"/>
    </row>
    <row r="37" spans="1:8" x14ac:dyDescent="0.15">
      <c r="A37" s="237"/>
      <c r="B37" s="238">
        <v>3600000</v>
      </c>
      <c r="C37" s="238">
        <f>ROUNDDOWN(試算シート!S27/4,-3)*3.2-440000</f>
        <v>-440000</v>
      </c>
      <c r="D37" s="237"/>
      <c r="E37" s="237"/>
      <c r="F37" s="237"/>
      <c r="G37" s="237"/>
      <c r="H37" s="237"/>
    </row>
    <row r="38" spans="1:8" x14ac:dyDescent="0.15">
      <c r="A38" s="237"/>
      <c r="B38" s="238">
        <v>6600000</v>
      </c>
      <c r="C38" s="238">
        <f>試算シート!S27*0.9-1100000</f>
        <v>-1100000</v>
      </c>
      <c r="D38" s="237"/>
      <c r="E38" s="237"/>
      <c r="F38" s="237"/>
      <c r="G38" s="237"/>
      <c r="H38" s="237"/>
    </row>
    <row r="39" spans="1:8" x14ac:dyDescent="0.15">
      <c r="A39" s="237"/>
      <c r="B39" s="238">
        <v>8500000</v>
      </c>
      <c r="C39" s="238">
        <f>試算シート!S27-1950000</f>
        <v>-1950000</v>
      </c>
      <c r="D39" s="237"/>
      <c r="E39" s="237"/>
      <c r="F39" s="237"/>
      <c r="G39" s="237"/>
      <c r="H39" s="237"/>
    </row>
    <row r="40" spans="1:8" ht="9.75" customHeight="1" x14ac:dyDescent="0.15">
      <c r="A40" s="237"/>
      <c r="B40" s="237"/>
      <c r="C40" s="237"/>
      <c r="D40" s="237"/>
      <c r="E40" s="237"/>
      <c r="F40" s="237"/>
      <c r="G40" s="237"/>
      <c r="H40" s="237"/>
    </row>
    <row r="41" spans="1:8" x14ac:dyDescent="0.15">
      <c r="A41" s="237"/>
      <c r="B41" s="237" t="s">
        <v>150</v>
      </c>
      <c r="C41" s="237"/>
      <c r="D41" s="237"/>
      <c r="E41" s="237" t="s">
        <v>150</v>
      </c>
      <c r="F41" s="237"/>
      <c r="G41" s="237"/>
      <c r="H41" s="237"/>
    </row>
    <row r="42" spans="1:8" x14ac:dyDescent="0.15">
      <c r="A42" s="237"/>
      <c r="B42" s="238">
        <v>0</v>
      </c>
      <c r="C42" s="238">
        <v>0</v>
      </c>
      <c r="D42" s="237"/>
      <c r="E42" s="239" t="s">
        <v>32</v>
      </c>
      <c r="F42" s="239"/>
      <c r="G42" s="239" t="s">
        <v>33</v>
      </c>
      <c r="H42" s="240"/>
    </row>
    <row r="43" spans="1:8" x14ac:dyDescent="0.15">
      <c r="A43" s="237"/>
      <c r="B43" s="238">
        <v>551000</v>
      </c>
      <c r="C43" s="238">
        <f>試算シート!S28-550000</f>
        <v>-550000</v>
      </c>
      <c r="D43" s="237"/>
      <c r="E43" s="238">
        <v>0</v>
      </c>
      <c r="F43" s="238">
        <f>IF(試算シート!AA28-600000&lt;0,0,試算シート!AA28-600000)</f>
        <v>0</v>
      </c>
      <c r="G43" s="238">
        <v>0</v>
      </c>
      <c r="H43" s="238">
        <f>IF(試算シート!AA28-1100000&lt;0,0,試算シート!AA28-1100000)</f>
        <v>0</v>
      </c>
    </row>
    <row r="44" spans="1:8" x14ac:dyDescent="0.15">
      <c r="A44" s="237"/>
      <c r="B44" s="238">
        <v>1619000</v>
      </c>
      <c r="C44" s="238">
        <v>1069000</v>
      </c>
      <c r="D44" s="237"/>
      <c r="E44" s="238">
        <v>1300000</v>
      </c>
      <c r="F44" s="238">
        <f>試算シート!AA28*0.75-275000</f>
        <v>-275000</v>
      </c>
      <c r="G44" s="238">
        <v>3300000</v>
      </c>
      <c r="H44" s="238">
        <f>試算シート!AA28*0.75-275000</f>
        <v>-275000</v>
      </c>
    </row>
    <row r="45" spans="1:8" x14ac:dyDescent="0.15">
      <c r="A45" s="237"/>
      <c r="B45" s="238">
        <v>1620000</v>
      </c>
      <c r="C45" s="238">
        <v>1070000</v>
      </c>
      <c r="D45" s="237"/>
      <c r="E45" s="238">
        <v>4100000</v>
      </c>
      <c r="F45" s="238">
        <f>試算シート!AA28*0.85-685000</f>
        <v>-685000</v>
      </c>
      <c r="G45" s="238">
        <v>4100000</v>
      </c>
      <c r="H45" s="238">
        <f>試算シート!AA28*0.85-685000</f>
        <v>-685000</v>
      </c>
    </row>
    <row r="46" spans="1:8" x14ac:dyDescent="0.15">
      <c r="A46" s="237"/>
      <c r="B46" s="238">
        <v>1622000</v>
      </c>
      <c r="C46" s="238">
        <v>1072000</v>
      </c>
      <c r="D46" s="237"/>
      <c r="E46" s="238">
        <v>7700000</v>
      </c>
      <c r="F46" s="238">
        <f>試算シート!AA28*0.95-1455000</f>
        <v>-1455000</v>
      </c>
      <c r="G46" s="238">
        <v>7700000</v>
      </c>
      <c r="H46" s="238">
        <f>試算シート!AA28*0.95-1455000</f>
        <v>-1455000</v>
      </c>
    </row>
    <row r="47" spans="1:8" x14ac:dyDescent="0.15">
      <c r="A47" s="237"/>
      <c r="B47" s="238">
        <v>1624000</v>
      </c>
      <c r="C47" s="238">
        <v>1074000</v>
      </c>
      <c r="D47" s="237"/>
      <c r="E47" s="238">
        <v>999999999</v>
      </c>
      <c r="F47" s="238">
        <f>試算シート!AA28-1955000</f>
        <v>-1955000</v>
      </c>
      <c r="G47" s="238">
        <v>999999999</v>
      </c>
      <c r="H47" s="238">
        <f>試算シート!AA28-1955000</f>
        <v>-1955000</v>
      </c>
    </row>
    <row r="48" spans="1:8" x14ac:dyDescent="0.15">
      <c r="A48" s="237"/>
      <c r="B48" s="238">
        <v>1628000</v>
      </c>
      <c r="C48" s="238">
        <f>ROUNDDOWN(試算シート!S28/4,-3)*2.4+100000</f>
        <v>100000</v>
      </c>
      <c r="D48" s="237"/>
      <c r="E48" s="237"/>
      <c r="F48" s="237"/>
      <c r="G48" s="237"/>
      <c r="H48" s="237"/>
    </row>
    <row r="49" spans="1:8" x14ac:dyDescent="0.15">
      <c r="A49" s="237"/>
      <c r="B49" s="238">
        <v>1800000</v>
      </c>
      <c r="C49" s="238">
        <f>ROUNDDOWN(試算シート!S28/4,-3)*2.8-80000</f>
        <v>-80000</v>
      </c>
      <c r="D49" s="237"/>
      <c r="E49" s="237"/>
      <c r="F49" s="237"/>
      <c r="G49" s="237"/>
      <c r="H49" s="237"/>
    </row>
    <row r="50" spans="1:8" x14ac:dyDescent="0.15">
      <c r="A50" s="237"/>
      <c r="B50" s="238">
        <v>3600000</v>
      </c>
      <c r="C50" s="238">
        <f>ROUNDDOWN(試算シート!S28/4,-3)*3.2-440000</f>
        <v>-440000</v>
      </c>
      <c r="D50" s="237"/>
      <c r="E50" s="237"/>
      <c r="F50" s="237"/>
      <c r="G50" s="237"/>
      <c r="H50" s="237"/>
    </row>
    <row r="51" spans="1:8" x14ac:dyDescent="0.15">
      <c r="A51" s="237"/>
      <c r="B51" s="238">
        <v>6600000</v>
      </c>
      <c r="C51" s="238">
        <f>試算シート!S28*0.9-1100000</f>
        <v>-1100000</v>
      </c>
      <c r="D51" s="237"/>
      <c r="E51" s="237"/>
      <c r="F51" s="237"/>
      <c r="G51" s="237"/>
      <c r="H51" s="237"/>
    </row>
    <row r="52" spans="1:8" x14ac:dyDescent="0.15">
      <c r="A52" s="237"/>
      <c r="B52" s="238">
        <v>8500000</v>
      </c>
      <c r="C52" s="238">
        <f>試算シート!S28-1950000</f>
        <v>-1950000</v>
      </c>
      <c r="D52" s="237"/>
      <c r="E52" s="237"/>
      <c r="F52" s="237"/>
      <c r="G52" s="237"/>
      <c r="H52" s="237"/>
    </row>
    <row r="53" spans="1:8" ht="8.25" customHeight="1" x14ac:dyDescent="0.15">
      <c r="A53" s="237"/>
      <c r="B53" s="237"/>
      <c r="C53" s="237"/>
      <c r="D53" s="237"/>
      <c r="E53" s="237"/>
      <c r="F53" s="237"/>
      <c r="G53" s="237"/>
      <c r="H53" s="237"/>
    </row>
    <row r="54" spans="1:8" x14ac:dyDescent="0.15">
      <c r="A54" s="237"/>
      <c r="B54" s="237" t="s">
        <v>151</v>
      </c>
      <c r="C54" s="237"/>
      <c r="D54" s="237"/>
      <c r="E54" s="237" t="s">
        <v>151</v>
      </c>
      <c r="F54" s="237"/>
      <c r="G54" s="237"/>
      <c r="H54" s="237"/>
    </row>
    <row r="55" spans="1:8" x14ac:dyDescent="0.15">
      <c r="A55" s="237"/>
      <c r="B55" s="238">
        <v>0</v>
      </c>
      <c r="C55" s="238">
        <v>0</v>
      </c>
      <c r="D55" s="237"/>
      <c r="E55" s="239" t="s">
        <v>32</v>
      </c>
      <c r="F55" s="239"/>
      <c r="G55" s="239" t="s">
        <v>33</v>
      </c>
      <c r="H55" s="240"/>
    </row>
    <row r="56" spans="1:8" x14ac:dyDescent="0.15">
      <c r="A56" s="237"/>
      <c r="B56" s="238">
        <v>551000</v>
      </c>
      <c r="C56" s="238">
        <f>試算シート!S29-550000</f>
        <v>-550000</v>
      </c>
      <c r="D56" s="237"/>
      <c r="E56" s="238">
        <v>0</v>
      </c>
      <c r="F56" s="238">
        <f>IF(試算シート!AA29-600000&lt;0,0,試算シート!AA29-600000)</f>
        <v>0</v>
      </c>
      <c r="G56" s="238">
        <v>0</v>
      </c>
      <c r="H56" s="238">
        <f>IF(試算シート!AA29-1100000&lt;0,0,#REF!-1100000)</f>
        <v>0</v>
      </c>
    </row>
    <row r="57" spans="1:8" x14ac:dyDescent="0.15">
      <c r="A57" s="237"/>
      <c r="B57" s="238">
        <v>1619000</v>
      </c>
      <c r="C57" s="238">
        <v>1069000</v>
      </c>
      <c r="D57" s="237"/>
      <c r="E57" s="238">
        <v>1300000</v>
      </c>
      <c r="F57" s="238">
        <f>試算シート!AA29*0.75-275000</f>
        <v>-275000</v>
      </c>
      <c r="G57" s="238">
        <v>3300000</v>
      </c>
      <c r="H57" s="238">
        <f>試算シート!AA29*0.75-275000</f>
        <v>-275000</v>
      </c>
    </row>
    <row r="58" spans="1:8" x14ac:dyDescent="0.15">
      <c r="A58" s="237"/>
      <c r="B58" s="238">
        <v>1620000</v>
      </c>
      <c r="C58" s="238">
        <v>1070000</v>
      </c>
      <c r="D58" s="237"/>
      <c r="E58" s="238">
        <v>4100000</v>
      </c>
      <c r="F58" s="238">
        <f>試算シート!AA29*0.85-685000</f>
        <v>-685000</v>
      </c>
      <c r="G58" s="238">
        <v>4100000</v>
      </c>
      <c r="H58" s="238">
        <f>試算シート!AA29*0.85-685000</f>
        <v>-685000</v>
      </c>
    </row>
    <row r="59" spans="1:8" x14ac:dyDescent="0.15">
      <c r="A59" s="237"/>
      <c r="B59" s="238">
        <v>1622000</v>
      </c>
      <c r="C59" s="238">
        <v>1072000</v>
      </c>
      <c r="D59" s="237"/>
      <c r="E59" s="238">
        <v>7700000</v>
      </c>
      <c r="F59" s="238">
        <f>試算シート!AA29*0.95-1455000</f>
        <v>-1455000</v>
      </c>
      <c r="G59" s="238">
        <v>7700000</v>
      </c>
      <c r="H59" s="238">
        <f>試算シート!AA29*0.95-1455000</f>
        <v>-1455000</v>
      </c>
    </row>
    <row r="60" spans="1:8" x14ac:dyDescent="0.15">
      <c r="A60" s="237"/>
      <c r="B60" s="238">
        <v>1624000</v>
      </c>
      <c r="C60" s="238">
        <v>1074000</v>
      </c>
      <c r="D60" s="237"/>
      <c r="E60" s="238">
        <v>999999999</v>
      </c>
      <c r="F60" s="238">
        <f>試算シート!AA29-1955000</f>
        <v>-1955000</v>
      </c>
      <c r="G60" s="238">
        <v>999999999</v>
      </c>
      <c r="H60" s="238">
        <f>試算シート!AA29-1955000</f>
        <v>-1955000</v>
      </c>
    </row>
    <row r="61" spans="1:8" x14ac:dyDescent="0.15">
      <c r="A61" s="237"/>
      <c r="B61" s="238">
        <v>1628000</v>
      </c>
      <c r="C61" s="238">
        <f>ROUNDDOWN(試算シート!S29/4,-3)*2.4+100000</f>
        <v>100000</v>
      </c>
      <c r="D61" s="237"/>
      <c r="E61" s="237"/>
      <c r="F61" s="237"/>
      <c r="G61" s="237"/>
      <c r="H61" s="237"/>
    </row>
    <row r="62" spans="1:8" x14ac:dyDescent="0.15">
      <c r="A62" s="237"/>
      <c r="B62" s="238">
        <v>1800000</v>
      </c>
      <c r="C62" s="238">
        <f>ROUNDDOWN(試算シート!S29/4,-3)*2.8-80000</f>
        <v>-80000</v>
      </c>
      <c r="D62" s="237"/>
      <c r="E62" s="237"/>
      <c r="F62" s="237"/>
      <c r="G62" s="237"/>
      <c r="H62" s="237"/>
    </row>
    <row r="63" spans="1:8" x14ac:dyDescent="0.15">
      <c r="A63" s="237"/>
      <c r="B63" s="238">
        <v>3600000</v>
      </c>
      <c r="C63" s="238">
        <f>ROUNDDOWN(試算シート!S29/4,-3)*3.2-440000</f>
        <v>-440000</v>
      </c>
      <c r="D63" s="237"/>
      <c r="E63" s="237"/>
      <c r="F63" s="237"/>
      <c r="G63" s="237"/>
      <c r="H63" s="237"/>
    </row>
    <row r="64" spans="1:8" x14ac:dyDescent="0.15">
      <c r="A64" s="237"/>
      <c r="B64" s="238">
        <v>6600000</v>
      </c>
      <c r="C64" s="238">
        <f>試算シート!S29*0.9-1100000</f>
        <v>-1100000</v>
      </c>
      <c r="D64" s="237"/>
      <c r="E64" s="237"/>
      <c r="F64" s="237"/>
      <c r="G64" s="237"/>
      <c r="H64" s="237"/>
    </row>
    <row r="65" spans="1:8" x14ac:dyDescent="0.15">
      <c r="A65" s="237"/>
      <c r="B65" s="238">
        <v>8500000</v>
      </c>
      <c r="C65" s="238">
        <f>試算シート!S29-1950000</f>
        <v>-1950000</v>
      </c>
      <c r="D65" s="237"/>
      <c r="E65" s="237"/>
      <c r="F65" s="237"/>
      <c r="G65" s="237"/>
      <c r="H65" s="237"/>
    </row>
    <row r="66" spans="1:8" ht="6" customHeight="1" x14ac:dyDescent="0.15">
      <c r="A66" s="237"/>
      <c r="B66" s="237"/>
      <c r="C66" s="237"/>
      <c r="D66" s="237"/>
      <c r="E66" s="237"/>
      <c r="F66" s="237"/>
      <c r="G66" s="237"/>
      <c r="H66" s="237"/>
    </row>
    <row r="67" spans="1:8" x14ac:dyDescent="0.15">
      <c r="A67" s="237"/>
      <c r="B67" s="237" t="s">
        <v>152</v>
      </c>
      <c r="C67" s="237"/>
      <c r="D67" s="237"/>
      <c r="E67" s="237" t="s">
        <v>152</v>
      </c>
      <c r="F67" s="237"/>
      <c r="G67" s="237"/>
      <c r="H67" s="237"/>
    </row>
    <row r="68" spans="1:8" x14ac:dyDescent="0.15">
      <c r="A68" s="237"/>
      <c r="B68" s="238">
        <v>0</v>
      </c>
      <c r="C68" s="238">
        <v>0</v>
      </c>
      <c r="D68" s="237"/>
      <c r="E68" s="240" t="s">
        <v>32</v>
      </c>
      <c r="F68" s="240"/>
      <c r="G68" s="240" t="s">
        <v>33</v>
      </c>
      <c r="H68" s="240"/>
    </row>
    <row r="69" spans="1:8" x14ac:dyDescent="0.15">
      <c r="A69" s="237"/>
      <c r="B69" s="238">
        <v>551000</v>
      </c>
      <c r="C69" s="238">
        <f>試算シート!S30-550000</f>
        <v>-550000</v>
      </c>
      <c r="D69" s="237"/>
      <c r="E69" s="238">
        <v>0</v>
      </c>
      <c r="F69" s="238">
        <f>IF(試算シート!AA30-600000&lt;0,0,試算シート!AA30-600000)</f>
        <v>0</v>
      </c>
      <c r="G69" s="238">
        <v>0</v>
      </c>
      <c r="H69" s="238">
        <f>IF(試算シート!AA30-1100000&lt;0,0,試算シート!AA30-1100000)</f>
        <v>0</v>
      </c>
    </row>
    <row r="70" spans="1:8" x14ac:dyDescent="0.15">
      <c r="A70" s="237"/>
      <c r="B70" s="238">
        <v>1619000</v>
      </c>
      <c r="C70" s="238">
        <v>1069000</v>
      </c>
      <c r="D70" s="237"/>
      <c r="E70" s="238">
        <v>1300000</v>
      </c>
      <c r="F70" s="238">
        <f>試算シート!AA30*0.75-275000</f>
        <v>-275000</v>
      </c>
      <c r="G70" s="238">
        <v>3300000</v>
      </c>
      <c r="H70" s="238">
        <f>試算シート!AA30*0.75-275000</f>
        <v>-275000</v>
      </c>
    </row>
    <row r="71" spans="1:8" x14ac:dyDescent="0.15">
      <c r="A71" s="237"/>
      <c r="B71" s="238">
        <v>1620000</v>
      </c>
      <c r="C71" s="238">
        <v>1070000</v>
      </c>
      <c r="D71" s="237"/>
      <c r="E71" s="238">
        <v>4100000</v>
      </c>
      <c r="F71" s="238">
        <f>試算シート!AA30*0.85-685000</f>
        <v>-685000</v>
      </c>
      <c r="G71" s="238">
        <v>4100000</v>
      </c>
      <c r="H71" s="238">
        <f>試算シート!AA30*0.85-685000</f>
        <v>-685000</v>
      </c>
    </row>
    <row r="72" spans="1:8" x14ac:dyDescent="0.15">
      <c r="A72" s="237"/>
      <c r="B72" s="238">
        <v>1622000</v>
      </c>
      <c r="C72" s="238">
        <v>1072000</v>
      </c>
      <c r="D72" s="237"/>
      <c r="E72" s="238">
        <v>7700000</v>
      </c>
      <c r="F72" s="238">
        <f>試算シート!AA30*0.95-1455000</f>
        <v>-1455000</v>
      </c>
      <c r="G72" s="238">
        <v>7700000</v>
      </c>
      <c r="H72" s="238">
        <f>試算シート!AA30*0.95-1455000</f>
        <v>-1455000</v>
      </c>
    </row>
    <row r="73" spans="1:8" x14ac:dyDescent="0.15">
      <c r="A73" s="237"/>
      <c r="B73" s="238">
        <v>1624000</v>
      </c>
      <c r="C73" s="238">
        <v>1074000</v>
      </c>
      <c r="D73" s="237"/>
      <c r="E73" s="238">
        <v>999999999</v>
      </c>
      <c r="F73" s="238">
        <f>試算シート!AA30-1955000</f>
        <v>-1955000</v>
      </c>
      <c r="G73" s="238">
        <v>999999999</v>
      </c>
      <c r="H73" s="238">
        <f>試算シート!AA30-1955000</f>
        <v>-1955000</v>
      </c>
    </row>
    <row r="74" spans="1:8" x14ac:dyDescent="0.15">
      <c r="A74" s="237"/>
      <c r="B74" s="238">
        <v>1628000</v>
      </c>
      <c r="C74" s="238">
        <f>ROUNDDOWN(試算シート!S30/4,-3)*2.4+100000</f>
        <v>100000</v>
      </c>
      <c r="D74" s="237"/>
      <c r="E74" s="237"/>
      <c r="F74" s="237"/>
      <c r="G74" s="237"/>
      <c r="H74" s="237"/>
    </row>
    <row r="75" spans="1:8" x14ac:dyDescent="0.15">
      <c r="A75" s="237"/>
      <c r="B75" s="238">
        <v>1800000</v>
      </c>
      <c r="C75" s="238">
        <f>ROUNDDOWN(試算シート!S30/4,-3)*2.8-80000</f>
        <v>-80000</v>
      </c>
      <c r="D75" s="237"/>
      <c r="E75" s="237"/>
      <c r="F75" s="237"/>
      <c r="G75" s="237"/>
      <c r="H75" s="237"/>
    </row>
    <row r="76" spans="1:8" x14ac:dyDescent="0.15">
      <c r="A76" s="237"/>
      <c r="B76" s="238">
        <v>3600000</v>
      </c>
      <c r="C76" s="238">
        <f>ROUNDDOWN(試算シート!S30/4,-3)*3.2-440000</f>
        <v>-440000</v>
      </c>
      <c r="D76" s="237"/>
      <c r="E76" s="237"/>
      <c r="F76" s="237"/>
      <c r="G76" s="237"/>
      <c r="H76" s="237"/>
    </row>
    <row r="77" spans="1:8" x14ac:dyDescent="0.15">
      <c r="A77" s="237"/>
      <c r="B77" s="238">
        <v>6600000</v>
      </c>
      <c r="C77" s="238">
        <f>試算シート!S30*0.9-1100000</f>
        <v>-1100000</v>
      </c>
      <c r="D77" s="237"/>
      <c r="E77" s="237"/>
      <c r="F77" s="237"/>
      <c r="G77" s="237"/>
      <c r="H77" s="237"/>
    </row>
    <row r="78" spans="1:8" x14ac:dyDescent="0.15">
      <c r="A78" s="237"/>
      <c r="B78" s="238">
        <v>8500000</v>
      </c>
      <c r="C78" s="238">
        <f>試算シート!S30-1950000</f>
        <v>-1950000</v>
      </c>
      <c r="D78" s="237"/>
      <c r="E78" s="237"/>
      <c r="F78" s="237"/>
      <c r="G78" s="237"/>
      <c r="H78" s="237"/>
    </row>
  </sheetData>
  <sheetProtection algorithmName="SHA-512" hashValue="bQDMkUzcfecOLXqkn8Z4AvlTvzjB2pz4nlag3vzaEDdQUDhVHvN5eOsvBuxXCCO1utbdde1n+xu40o4TPlG0Qw==" saltValue="wYcM//Bo7x3dWfkBnIChlA==" spinCount="100000" sheet="1" objects="1" scenarios="1"/>
  <phoneticPr fontId="2"/>
  <pageMargins left="0.7" right="0.7" top="0.75" bottom="0.75" header="0.3" footer="0.3"/>
  <pageSetup paperSize="9" scale="68"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11"/>
  <sheetViews>
    <sheetView zoomScale="80" zoomScaleNormal="80" workbookViewId="0"/>
  </sheetViews>
  <sheetFormatPr defaultRowHeight="13.5" x14ac:dyDescent="0.15"/>
  <cols>
    <col min="2" max="2" width="23.75" bestFit="1" customWidth="1"/>
    <col min="3" max="3" width="5.25" bestFit="1" customWidth="1"/>
    <col min="5" max="5" width="23.75" bestFit="1" customWidth="1"/>
    <col min="6" max="6" width="5.25" bestFit="1" customWidth="1"/>
  </cols>
  <sheetData>
    <row r="2" spans="2:6" x14ac:dyDescent="0.15">
      <c r="B2" s="6" t="s">
        <v>48</v>
      </c>
      <c r="C2" s="6" t="s">
        <v>16</v>
      </c>
      <c r="D2" s="7"/>
      <c r="E2" s="7"/>
      <c r="F2" s="7"/>
    </row>
    <row r="3" spans="2:6" x14ac:dyDescent="0.15">
      <c r="B3" s="6" t="s">
        <v>43</v>
      </c>
      <c r="C3" s="6">
        <v>1</v>
      </c>
      <c r="D3" s="7"/>
      <c r="E3" s="7"/>
      <c r="F3" s="7"/>
    </row>
    <row r="4" spans="2:6" x14ac:dyDescent="0.15">
      <c r="B4" s="6" t="s">
        <v>44</v>
      </c>
      <c r="C4" s="6">
        <v>2</v>
      </c>
      <c r="D4" s="7"/>
      <c r="E4" s="7"/>
      <c r="F4" s="7"/>
    </row>
    <row r="5" spans="2:6" x14ac:dyDescent="0.15">
      <c r="B5" s="7"/>
      <c r="C5" s="7"/>
      <c r="D5" s="7"/>
      <c r="E5" s="7"/>
      <c r="F5" s="7"/>
    </row>
    <row r="6" spans="2:6" x14ac:dyDescent="0.15">
      <c r="B6" s="6" t="s">
        <v>49</v>
      </c>
      <c r="C6" s="6" t="s">
        <v>16</v>
      </c>
      <c r="D6" s="7"/>
      <c r="E6" s="6" t="s">
        <v>146</v>
      </c>
      <c r="F6" s="6" t="s">
        <v>16</v>
      </c>
    </row>
    <row r="7" spans="2:6" x14ac:dyDescent="0.15">
      <c r="B7" s="6" t="s">
        <v>89</v>
      </c>
      <c r="C7" s="6">
        <v>1</v>
      </c>
      <c r="D7" s="7"/>
      <c r="E7" s="6" t="s">
        <v>2</v>
      </c>
      <c r="F7" s="6">
        <v>1</v>
      </c>
    </row>
    <row r="8" spans="2:6" x14ac:dyDescent="0.15">
      <c r="B8" s="6" t="s">
        <v>132</v>
      </c>
      <c r="C8" s="6">
        <v>2</v>
      </c>
      <c r="D8" s="7"/>
      <c r="E8" s="6" t="s">
        <v>89</v>
      </c>
      <c r="F8" s="6">
        <v>2</v>
      </c>
    </row>
    <row r="9" spans="2:6" x14ac:dyDescent="0.15">
      <c r="B9" s="6" t="s">
        <v>45</v>
      </c>
      <c r="C9" s="6">
        <v>3</v>
      </c>
      <c r="D9" s="7"/>
      <c r="E9" s="6" t="s">
        <v>132</v>
      </c>
      <c r="F9" s="6">
        <v>3</v>
      </c>
    </row>
    <row r="10" spans="2:6" x14ac:dyDescent="0.15">
      <c r="B10" s="6" t="s">
        <v>46</v>
      </c>
      <c r="C10" s="6">
        <v>4</v>
      </c>
      <c r="D10" s="7"/>
      <c r="E10" s="6" t="s">
        <v>45</v>
      </c>
      <c r="F10" s="6">
        <v>4</v>
      </c>
    </row>
    <row r="11" spans="2:6" x14ac:dyDescent="0.15">
      <c r="B11" s="6" t="s">
        <v>47</v>
      </c>
      <c r="C11" s="6">
        <v>5</v>
      </c>
      <c r="D11" s="7"/>
      <c r="E11" s="6" t="s">
        <v>46</v>
      </c>
      <c r="F11" s="6">
        <v>5</v>
      </c>
    </row>
  </sheetData>
  <sheetProtection algorithmName="SHA-512" hashValue="6lCGfrGrTdCI+0utMFwTbP1QDSufXYdswWyNpA8pRCKR96jEqpjYOb9gux2SlRjhajWj1jMsim6SBXHumaOX2A==" saltValue="B8x1G5XuFe82gShu2HeSkg==" spinCount="100000" sheet="1" objects="1" scenarios="1"/>
  <phoneticPr fontId="2"/>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
  <sheetViews>
    <sheetView workbookViewId="0"/>
  </sheetViews>
  <sheetFormatPr defaultRowHeight="13.5" x14ac:dyDescent="0.15"/>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vt:i4>
      </vt:variant>
    </vt:vector>
  </HeadingPairs>
  <TitlesOfParts>
    <vt:vector size="7" baseType="lpstr">
      <vt:lpstr>試算シート</vt:lpstr>
      <vt:lpstr>計算の詳細</vt:lpstr>
      <vt:lpstr>計算基準（非公開）</vt:lpstr>
      <vt:lpstr>所得計算（非公開）</vt:lpstr>
      <vt:lpstr>区分（非公開）</vt:lpstr>
      <vt:lpstr>計算の詳細!Print_Area</vt:lpstr>
      <vt:lpstr>試算シート!Print_Area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01439 髙木 怜</dc:creator>
  <cp:lastModifiedBy>01439 髙木 怜</cp:lastModifiedBy>
  <cp:lastPrinted>2024-07-30T07:56:29Z</cp:lastPrinted>
  <dcterms:created xsi:type="dcterms:W3CDTF">2012-09-26T02:57:09Z</dcterms:created>
  <dcterms:modified xsi:type="dcterms:W3CDTF">2025-03-31T05:31:19Z</dcterms:modified>
</cp:coreProperties>
</file>